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\\iter\cfs\group\CONTRACT_ADMINISTRATION\4. Contracts - Working session\2 - PRxxxx\FROM PR 10028000 to PR 10028999\PR  10028594 -OT  Common procurement of 316L(N)-IG shaped beams for ISSPCSS\0. PR\"/>
    </mc:Choice>
  </mc:AlternateContent>
  <xr:revisionPtr revIDLastSave="0" documentId="8_{3F3537C7-5FDE-430D-9E8E-3F51AEAE084A}" xr6:coauthVersionLast="47" xr6:coauthVersionMax="47" xr10:uidLastSave="{00000000-0000-0000-0000-000000000000}"/>
  <bookViews>
    <workbookView xWindow="-120" yWindow="-120" windowWidth="29040" windowHeight="15840" tabRatio="706" xr2:uid="{00000000-000D-0000-FFFF-FFFF00000000}"/>
  </bookViews>
  <sheets>
    <sheet name="1_BoQ_beams" sheetId="8" r:id="rId1"/>
    <sheet name="2_BoQ_Plates" sheetId="13" r:id="rId2"/>
  </sheets>
  <definedNames>
    <definedName name="_xlnm._FilterDatabase" localSheetId="0" hidden="1">'1_BoQ_beams'!$A$8:$V$32</definedName>
    <definedName name="_xlnm._FilterDatabase" localSheetId="1" hidden="1">'2_BoQ_Plates'!$A$8:$R$17</definedName>
    <definedName name="_xlnm.Print_Area" localSheetId="0">'1_BoQ_beams'!$A$1:$AI$37</definedName>
    <definedName name="_xlnm.Print_Area" localSheetId="1">'2_BoQ_Plates'!$A$1:$AE$22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J9" i="13" l="1"/>
  <c r="AJ10" i="13"/>
  <c r="AH9" i="13"/>
  <c r="W31" i="8" l="1"/>
  <c r="W30" i="8"/>
  <c r="W29" i="8"/>
  <c r="W28" i="8"/>
  <c r="W27" i="8"/>
  <c r="W26" i="8"/>
  <c r="W25" i="8"/>
  <c r="W24" i="8"/>
  <c r="W23" i="8"/>
  <c r="W22" i="8"/>
  <c r="W21" i="8"/>
  <c r="W20" i="8"/>
  <c r="W19" i="8"/>
  <c r="W18" i="8"/>
  <c r="W17" i="8"/>
  <c r="W16" i="8"/>
  <c r="W15" i="8"/>
  <c r="W14" i="8"/>
  <c r="W13" i="8"/>
  <c r="W12" i="8"/>
  <c r="W11" i="8"/>
  <c r="W10" i="8"/>
  <c r="AJ16" i="13" l="1"/>
  <c r="AJ15" i="13"/>
  <c r="AJ14" i="13"/>
  <c r="AJ13" i="13"/>
  <c r="AJ12" i="13"/>
  <c r="AJ11" i="13"/>
  <c r="Y10" i="13"/>
  <c r="Y16" i="13"/>
  <c r="Z16" i="13" s="1"/>
  <c r="AA16" i="13" s="1"/>
  <c r="Y15" i="13"/>
  <c r="Z15" i="13" s="1"/>
  <c r="AA15" i="13" s="1"/>
  <c r="Y14" i="13"/>
  <c r="Z14" i="13" s="1"/>
  <c r="AA14" i="13" s="1"/>
  <c r="Y13" i="13"/>
  <c r="Z13" i="13" s="1"/>
  <c r="AA13" i="13" s="1"/>
  <c r="Y12" i="13"/>
  <c r="Z12" i="13" s="1"/>
  <c r="AA12" i="13" s="1"/>
  <c r="Y11" i="13"/>
  <c r="Z11" i="13" s="1"/>
  <c r="AA11" i="13" s="1"/>
  <c r="S16" i="13"/>
  <c r="T16" i="13" s="1"/>
  <c r="U16" i="13" s="1"/>
  <c r="S15" i="13"/>
  <c r="T15" i="13" s="1"/>
  <c r="U15" i="13" s="1"/>
  <c r="T14" i="13"/>
  <c r="U14" i="13" s="1"/>
  <c r="S14" i="13"/>
  <c r="T13" i="13"/>
  <c r="U13" i="13" s="1"/>
  <c r="S13" i="13"/>
  <c r="S12" i="13"/>
  <c r="T12" i="13" s="1"/>
  <c r="U12" i="13" s="1"/>
  <c r="S11" i="13"/>
  <c r="T11" i="13" s="1"/>
  <c r="U11" i="13" s="1"/>
  <c r="S10" i="13"/>
  <c r="AI16" i="13"/>
  <c r="AI15" i="13"/>
  <c r="AI14" i="13"/>
  <c r="AI13" i="13"/>
  <c r="AI12" i="13"/>
  <c r="AI11" i="13"/>
  <c r="AK11" i="13" s="1"/>
  <c r="AI10" i="13"/>
  <c r="AI9" i="13"/>
  <c r="AK9" i="13" s="1"/>
  <c r="AK16" i="13"/>
  <c r="AK15" i="13"/>
  <c r="AK14" i="13"/>
  <c r="AK13" i="13"/>
  <c r="AK12" i="13"/>
  <c r="AK10" i="13"/>
  <c r="AP11" i="8"/>
  <c r="AC11" i="8" s="1"/>
  <c r="I16" i="13"/>
  <c r="H16" i="13"/>
  <c r="I15" i="13"/>
  <c r="H15" i="13"/>
  <c r="I14" i="13"/>
  <c r="H14" i="13"/>
  <c r="I13" i="13"/>
  <c r="H13" i="13"/>
  <c r="I12" i="13"/>
  <c r="H12" i="13"/>
  <c r="I11" i="13"/>
  <c r="H11" i="13"/>
  <c r="I10" i="13"/>
  <c r="H10" i="13"/>
  <c r="I9" i="13"/>
  <c r="H9" i="13"/>
  <c r="S9" i="13" l="1"/>
  <c r="T9" i="13" s="1"/>
  <c r="U9" i="13" s="1"/>
  <c r="Z10" i="13"/>
  <c r="T10" i="13"/>
  <c r="AK17" i="13"/>
  <c r="AN25" i="8"/>
  <c r="Y9" i="13" l="1"/>
  <c r="S17" i="13"/>
  <c r="AA10" i="13"/>
  <c r="T17" i="13"/>
  <c r="U10" i="13"/>
  <c r="U17" i="13" s="1"/>
  <c r="Z9" i="13" l="1"/>
  <c r="Y17" i="13"/>
  <c r="X22" i="8"/>
  <c r="AL10" i="13"/>
  <c r="AL11" i="13"/>
  <c r="AL12" i="13"/>
  <c r="AL13" i="13"/>
  <c r="AL14" i="13"/>
  <c r="AL15" i="13"/>
  <c r="AL16" i="13"/>
  <c r="AL9" i="13"/>
  <c r="AO32" i="8"/>
  <c r="AA9" i="13" l="1"/>
  <c r="AA17" i="13" s="1"/>
  <c r="Z17" i="13"/>
  <c r="AP14" i="8"/>
  <c r="AP12" i="8"/>
  <c r="AP25" i="8"/>
  <c r="AP24" i="8"/>
  <c r="AP17" i="8"/>
  <c r="AP16" i="8"/>
  <c r="AN31" i="8"/>
  <c r="AN30" i="8"/>
  <c r="AN29" i="8"/>
  <c r="AN27" i="8"/>
  <c r="AN21" i="8"/>
  <c r="AN19" i="8"/>
  <c r="AN18" i="8"/>
  <c r="AN15" i="8"/>
  <c r="AN14" i="8"/>
  <c r="AN10" i="8"/>
  <c r="AM20" i="8"/>
  <c r="AN20" i="8" s="1"/>
  <c r="AM17" i="8"/>
  <c r="AN17" i="8" s="1"/>
  <c r="AM9" i="8"/>
  <c r="AN9" i="8" s="1"/>
  <c r="AM28" i="8"/>
  <c r="AN28" i="8" s="1"/>
  <c r="AC29" i="8" l="1"/>
  <c r="AC14" i="8"/>
  <c r="AC12" i="8"/>
  <c r="AC31" i="8"/>
  <c r="AC25" i="8"/>
  <c r="AD25" i="8" s="1"/>
  <c r="AC17" i="8"/>
  <c r="AC21" i="8"/>
  <c r="AC16" i="8"/>
  <c r="AC28" i="8"/>
  <c r="AC18" i="8"/>
  <c r="AC9" i="8"/>
  <c r="AC19" i="8"/>
  <c r="AC10" i="8"/>
  <c r="AC24" i="8"/>
  <c r="AC30" i="8"/>
  <c r="X25" i="8"/>
  <c r="W9" i="8"/>
  <c r="AQ21" i="8"/>
  <c r="X21" i="8"/>
  <c r="AQ16" i="8"/>
  <c r="AQ11" i="8"/>
  <c r="AQ30" i="8"/>
  <c r="X30" i="8"/>
  <c r="AQ24" i="8"/>
  <c r="AQ19" i="8"/>
  <c r="X19" i="8"/>
  <c r="AQ12" i="8"/>
  <c r="X11" i="8"/>
  <c r="X24" i="8"/>
  <c r="X12" i="8"/>
  <c r="X16" i="8"/>
  <c r="Y11" i="8"/>
  <c r="AQ31" i="8"/>
  <c r="AQ18" i="8"/>
  <c r="AQ14" i="8"/>
  <c r="AQ25" i="8"/>
  <c r="AQ29" i="8"/>
  <c r="AQ17" i="8"/>
  <c r="AQ28" i="8"/>
  <c r="AK22" i="8"/>
  <c r="AP22" i="8" s="1"/>
  <c r="AK23" i="8"/>
  <c r="AP23" i="8" s="1"/>
  <c r="AK26" i="8"/>
  <c r="AP26" i="8" s="1"/>
  <c r="AL32" i="8"/>
  <c r="AK27" i="8"/>
  <c r="AP27" i="8" s="1"/>
  <c r="AC27" i="8" s="1"/>
  <c r="AK20" i="8"/>
  <c r="AP20" i="8" s="1"/>
  <c r="AC20" i="8" s="1"/>
  <c r="AK15" i="8"/>
  <c r="AP15" i="8" s="1"/>
  <c r="AC15" i="8" s="1"/>
  <c r="AK13" i="8"/>
  <c r="AP13" i="8" s="1"/>
  <c r="AC23" i="8" l="1"/>
  <c r="AC22" i="8"/>
  <c r="AD22" i="8" s="1"/>
  <c r="AC13" i="8"/>
  <c r="AC26" i="8"/>
  <c r="X9" i="8"/>
  <c r="AE19" i="8"/>
  <c r="AE30" i="8"/>
  <c r="AP32" i="8"/>
  <c r="Y12" i="8"/>
  <c r="AD28" i="8"/>
  <c r="X28" i="8"/>
  <c r="AE29" i="8"/>
  <c r="X29" i="8"/>
  <c r="X14" i="8"/>
  <c r="Y24" i="8"/>
  <c r="X18" i="8"/>
  <c r="AE18" i="8"/>
  <c r="X17" i="8"/>
  <c r="AE31" i="8"/>
  <c r="X31" i="8"/>
  <c r="Y16" i="8"/>
  <c r="AD11" i="8"/>
  <c r="AE11" i="8"/>
  <c r="AE16" i="8"/>
  <c r="AD16" i="8"/>
  <c r="AE12" i="8"/>
  <c r="AD12" i="8"/>
  <c r="AE24" i="8"/>
  <c r="AD24" i="8"/>
  <c r="AQ27" i="8"/>
  <c r="AQ26" i="8"/>
  <c r="AQ23" i="8"/>
  <c r="AQ22" i="8"/>
  <c r="AQ13" i="8"/>
  <c r="AQ15" i="8"/>
  <c r="AQ20" i="8"/>
  <c r="AL17" i="13"/>
  <c r="AQ10" i="8"/>
  <c r="AQ9" i="8"/>
  <c r="AD30" i="8" l="1"/>
  <c r="AD19" i="8"/>
  <c r="AD21" i="8"/>
  <c r="AE21" i="8"/>
  <c r="AE25" i="8"/>
  <c r="AD29" i="8"/>
  <c r="AD18" i="8"/>
  <c r="X26" i="8"/>
  <c r="X10" i="8"/>
  <c r="X27" i="8"/>
  <c r="X20" i="8"/>
  <c r="X13" i="8"/>
  <c r="X23" i="8"/>
  <c r="AE28" i="8"/>
  <c r="AD31" i="8"/>
  <c r="X15" i="8"/>
  <c r="Y14" i="8"/>
  <c r="Y17" i="8"/>
  <c r="AE14" i="8"/>
  <c r="AD14" i="8"/>
  <c r="AE17" i="8"/>
  <c r="AD17" i="8"/>
  <c r="Y31" i="8"/>
  <c r="Y19" i="8"/>
  <c r="Y18" i="8"/>
  <c r="Y29" i="8"/>
  <c r="Y28" i="8"/>
  <c r="Y25" i="8"/>
  <c r="Y21" i="8"/>
  <c r="Y30" i="8"/>
  <c r="AQ32" i="8"/>
  <c r="AJ17" i="13"/>
  <c r="AI17" i="13"/>
  <c r="AH17" i="13"/>
  <c r="AG17" i="13"/>
  <c r="AF17" i="13"/>
  <c r="Y13" i="8" l="1"/>
  <c r="Y10" i="8"/>
  <c r="Y22" i="8"/>
  <c r="Y20" i="8"/>
  <c r="Y26" i="8"/>
  <c r="Y15" i="8"/>
  <c r="Y9" i="8"/>
  <c r="Y27" i="8"/>
  <c r="AE27" i="8"/>
  <c r="AD27" i="8"/>
  <c r="AE13" i="8"/>
  <c r="AD13" i="8"/>
  <c r="AD15" i="8"/>
  <c r="AE15" i="8"/>
  <c r="AD23" i="8"/>
  <c r="AE23" i="8"/>
  <c r="AE9" i="8"/>
  <c r="AD9" i="8"/>
  <c r="AE10" i="8"/>
  <c r="AD10" i="8"/>
  <c r="Y23" i="8"/>
  <c r="AE22" i="8"/>
  <c r="AE20" i="8"/>
  <c r="AD20" i="8"/>
  <c r="AD26" i="8"/>
  <c r="AE26" i="8"/>
  <c r="AK18" i="13"/>
  <c r="AN32" i="8"/>
  <c r="Y32" i="8" l="1"/>
  <c r="AE32" i="8"/>
  <c r="AM32" i="8"/>
  <c r="AK32" i="8"/>
  <c r="AJ32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tc={7E695E0F-42EF-4F40-8E41-9813DAF3DAB6}</author>
  </authors>
  <commentList>
    <comment ref="AM8" authorId="0" shapeId="0" xr:uid="{7E695E0F-42EF-4F40-8E41-9813DAF3DAB6}">
      <text>
        <t>[Threaded comment]
Your version of Excel allows you to read this threaded comment; however, any edits to it will get removed if the file is opened in a newer version of Excel. Learn more: https://go.microsoft.com/fwlink/?linkid=870924
Comment:
    Including new ISS bridge design</t>
      </text>
    </comment>
  </commentList>
</comments>
</file>

<file path=xl/sharedStrings.xml><?xml version="1.0" encoding="utf-8"?>
<sst xmlns="http://schemas.openxmlformats.org/spreadsheetml/2006/main" count="680" uniqueCount="201">
  <si>
    <t>IDENT CODE (PNI)</t>
  </si>
  <si>
    <t>COMPONENT DESCRIPTION</t>
  </si>
  <si>
    <t>MATERIAL GRADE</t>
  </si>
  <si>
    <t>DIMENSIONAL STD</t>
  </si>
  <si>
    <t>TYPE</t>
  </si>
  <si>
    <t>PED category</t>
  </si>
  <si>
    <t>PIC Safety class</t>
  </si>
  <si>
    <t>ITER Quality Class</t>
  </si>
  <si>
    <t>Heat analysis restrictions</t>
  </si>
  <si>
    <t>Additional requirements</t>
  </si>
  <si>
    <t>N/A</t>
  </si>
  <si>
    <t>QC-1</t>
  </si>
  <si>
    <t>Acronyms</t>
  </si>
  <si>
    <t>Not applicable</t>
  </si>
  <si>
    <t>Document UID:</t>
  </si>
  <si>
    <t>Price EUR/kg</t>
  </si>
  <si>
    <t>ITER Vacuum Quality Class</t>
  </si>
  <si>
    <t>TBD</t>
  </si>
  <si>
    <t>To Be Defined</t>
  </si>
  <si>
    <t>TBD later</t>
  </si>
  <si>
    <t>Co ≤ 0.05% in wt.
Ta ≤ 0.01% in wt.
Nb ≤ 0.01% in wt.</t>
  </si>
  <si>
    <t xml:space="preserve">NPE nuclear level </t>
  </si>
  <si>
    <t>Item ref.</t>
  </si>
  <si>
    <t>Applicable technical specification:</t>
  </si>
  <si>
    <t>TOTAL</t>
  </si>
  <si>
    <r>
      <t>Quantities needed by the Clients, without margins - FOR INFORMATION.</t>
    </r>
    <r>
      <rPr>
        <i/>
        <sz val="11"/>
        <color theme="1"/>
        <rFont val="Calibri"/>
        <family val="2"/>
        <scheme val="minor"/>
      </rPr>
      <t xml:space="preserve"> Unit (meter)</t>
    </r>
  </si>
  <si>
    <t>RFDA  (55.QB)</t>
  </si>
  <si>
    <t>RFDA
 (55.U2-7-8)</t>
  </si>
  <si>
    <t>IO 
(55.Q8)</t>
  </si>
  <si>
    <t>ITER_D_AM7J5M</t>
  </si>
  <si>
    <t>55.Q0_Technical Specification for the supply of 316L(N)-IG austenitic stainless steel shaped beams for ISS-PCSS</t>
  </si>
  <si>
    <t>ITER_D_AM7H27</t>
  </si>
  <si>
    <t>Width (mm)</t>
  </si>
  <si>
    <t>DIM1 (mm)</t>
  </si>
  <si>
    <t>DIM2 (mm)</t>
  </si>
  <si>
    <t>DIM3 (mm) thickness</t>
  </si>
  <si>
    <t>Delivery Length (m)</t>
  </si>
  <si>
    <t>TOTAL PRICE (EUR)</t>
  </si>
  <si>
    <t>Price 
EUR/m</t>
  </si>
  <si>
    <t>316L(N)-IG (1.4404) with impurity control</t>
  </si>
  <si>
    <t>HEB_100X100X6X10</t>
  </si>
  <si>
    <t>HEB_120X120X6.5X11</t>
  </si>
  <si>
    <t>IPE_120X64X4.4X6.3</t>
  </si>
  <si>
    <t>IPE_240X120X6.2X9.8</t>
  </si>
  <si>
    <t>UPE_160X70X5.5X9.5</t>
  </si>
  <si>
    <t>UPE_220X85X6.5X12</t>
  </si>
  <si>
    <t>L_35X35X4</t>
  </si>
  <si>
    <t>L_40X40X5</t>
  </si>
  <si>
    <t>L_60X60X8</t>
  </si>
  <si>
    <t>L_65X65X6</t>
  </si>
  <si>
    <t>L_65X65X8</t>
  </si>
  <si>
    <t>DIM4 (mm) thickness</t>
  </si>
  <si>
    <t>SIC-2</t>
  </si>
  <si>
    <t>TOLERANCES STD</t>
  </si>
  <si>
    <t>EN-10365</t>
  </si>
  <si>
    <t>EN-10034</t>
  </si>
  <si>
    <t>EN-10056-1</t>
  </si>
  <si>
    <t>EN-10056-2</t>
  </si>
  <si>
    <t>EN-10279</t>
  </si>
  <si>
    <t>PLATE</t>
  </si>
  <si>
    <t>BEAM</t>
  </si>
  <si>
    <t>Thickness (mm)</t>
  </si>
  <si>
    <t>Length (mm)</t>
  </si>
  <si>
    <t>5 x 1000 x 2000</t>
  </si>
  <si>
    <t>Unit Weight (kg/m)</t>
  </si>
  <si>
    <t>TOTAL WEIGHT (kg)</t>
  </si>
  <si>
    <r>
      <t>TOTAL ORDER QUANTITY (m</t>
    </r>
    <r>
      <rPr>
        <b/>
        <vertAlign val="superscript"/>
        <sz val="10"/>
        <rFont val="Calibri"/>
        <family val="2"/>
        <scheme val="minor"/>
      </rPr>
      <t>2</t>
    </r>
    <r>
      <rPr>
        <b/>
        <sz val="10"/>
        <rFont val="Calibri"/>
        <family val="2"/>
        <scheme val="minor"/>
      </rPr>
      <t>)</t>
    </r>
  </si>
  <si>
    <t>TOTAL ORDER QUANTITY (piece)</t>
  </si>
  <si>
    <r>
      <t>Unit Weight (kg/m</t>
    </r>
    <r>
      <rPr>
        <b/>
        <vertAlign val="superscript"/>
        <sz val="10"/>
        <color theme="1"/>
        <rFont val="Calibri"/>
        <family val="2"/>
        <scheme val="minor"/>
      </rPr>
      <t>2</t>
    </r>
    <r>
      <rPr>
        <b/>
        <sz val="10"/>
        <color theme="1"/>
        <rFont val="Calibri"/>
        <family val="2"/>
        <scheme val="minor"/>
      </rPr>
      <t>)</t>
    </r>
  </si>
  <si>
    <t>7</t>
  </si>
  <si>
    <t>(*) Maximum duration from the date of commencement of the contact. The supplier shall propose a delivery schedule with the best optimization considering the total delivery period of the contract.</t>
  </si>
  <si>
    <r>
      <rPr>
        <b/>
        <i/>
        <sz val="11"/>
        <color theme="1"/>
        <rFont val="Calibri"/>
        <family val="2"/>
        <scheme val="minor"/>
      </rPr>
      <t>Quantities ordered by the Clients, defining the batches. Including margins and spares</t>
    </r>
    <r>
      <rPr>
        <i/>
        <sz val="11"/>
        <color theme="1"/>
        <rFont val="Calibri"/>
        <family val="2"/>
        <scheme val="minor"/>
      </rPr>
      <t>. Unit (pieces)</t>
    </r>
  </si>
  <si>
    <t>RFDA
 (55.L8)</t>
  </si>
  <si>
    <t>1.5 x 1000 x 2000</t>
  </si>
  <si>
    <t>2 x 1000 x 2000</t>
  </si>
  <si>
    <t>3 x 1000 x 2000</t>
  </si>
  <si>
    <t>18</t>
  </si>
  <si>
    <t>6</t>
  </si>
  <si>
    <t>8.5</t>
  </si>
  <si>
    <t>4.5</t>
  </si>
  <si>
    <t>7.5</t>
  </si>
  <si>
    <t>UPE_80x50x4</t>
  </si>
  <si>
    <t>4</t>
  </si>
  <si>
    <t>HEB_200x200x9</t>
  </si>
  <si>
    <t>9</t>
  </si>
  <si>
    <t>15</t>
  </si>
  <si>
    <t>5.6</t>
  </si>
  <si>
    <t>IPE_100x55x4.1</t>
  </si>
  <si>
    <t>4.1</t>
  </si>
  <si>
    <t>5.7</t>
  </si>
  <si>
    <t>L_30X30X4</t>
  </si>
  <si>
    <t>UPN_50x38x5x7</t>
  </si>
  <si>
    <t>5</t>
  </si>
  <si>
    <t>UPE_400x115x13.5x18</t>
  </si>
  <si>
    <t>13.5</t>
  </si>
  <si>
    <t>IPE_200x100x5.6x8.5</t>
  </si>
  <si>
    <t>UPE_120x60x5x8</t>
  </si>
  <si>
    <t>UPE_100x55x4.5x7.5</t>
  </si>
  <si>
    <t>UPN_400x110x14x18</t>
  </si>
  <si>
    <t>UPN_100x50x6x8.5</t>
  </si>
  <si>
    <t>17</t>
  </si>
  <si>
    <t>8.1</t>
  </si>
  <si>
    <t>22.4</t>
  </si>
  <si>
    <t>72.2</t>
  </si>
  <si>
    <t>5.59</t>
  </si>
  <si>
    <t>10.6</t>
  </si>
  <si>
    <t>UPE_140x65x5x9</t>
  </si>
  <si>
    <t>TOTAL ORDER QUANTITY (pieces)</t>
  </si>
  <si>
    <t>6 and 9</t>
  </si>
  <si>
    <t>6 and 7.5</t>
  </si>
  <si>
    <t>1.73</t>
  </si>
  <si>
    <r>
      <t>Delivered surface (m</t>
    </r>
    <r>
      <rPr>
        <b/>
        <vertAlign val="superscript"/>
        <sz val="10"/>
        <color theme="1"/>
        <rFont val="Calibri"/>
        <family val="2"/>
        <scheme val="minor"/>
      </rPr>
      <t>2</t>
    </r>
    <r>
      <rPr>
        <b/>
        <sz val="10"/>
        <color theme="1"/>
        <rFont val="Calibri"/>
        <family val="2"/>
        <scheme val="minor"/>
      </rPr>
      <t>)</t>
    </r>
  </si>
  <si>
    <t>TOTAL ORDER QUANTITY (m)</t>
  </si>
  <si>
    <t>EN-10029</t>
  </si>
  <si>
    <t>B#1</t>
  </si>
  <si>
    <t>B#2</t>
  </si>
  <si>
    <t>B#8</t>
  </si>
  <si>
    <t>B#5</t>
  </si>
  <si>
    <t>B#3</t>
  </si>
  <si>
    <t>B#6</t>
  </si>
  <si>
    <t>B#9</t>
  </si>
  <si>
    <t>B#4</t>
  </si>
  <si>
    <t>B#7</t>
  </si>
  <si>
    <t>B#10</t>
  </si>
  <si>
    <t>B#11</t>
  </si>
  <si>
    <t>B#12</t>
  </si>
  <si>
    <t>B#13</t>
  </si>
  <si>
    <t>B#14</t>
  </si>
  <si>
    <t>B#15</t>
  </si>
  <si>
    <t>B#16</t>
  </si>
  <si>
    <t>B#17</t>
  </si>
  <si>
    <t>B#18</t>
  </si>
  <si>
    <t>B#19</t>
  </si>
  <si>
    <t>B#20</t>
  </si>
  <si>
    <t>B#21</t>
  </si>
  <si>
    <t>B#22</t>
  </si>
  <si>
    <t>B#23</t>
  </si>
  <si>
    <t>Batch#1 (firm) - IO scope
(55.Q8)</t>
  </si>
  <si>
    <t>Batch#1 (firm) - IO additional stock</t>
  </si>
  <si>
    <t>Batch#2 (option)
RFDA scope
(55.QB, U2-7-8, L8)</t>
  </si>
  <si>
    <t>Quantities ordered by the Clients, defining the batches. Including margins and spares. Unit (meter)</t>
  </si>
  <si>
    <t>55.Q0_Bill of Quantities for the supply of 316L(N)-IG austenitic stainless steel shaped beams and rolled plates for Ex-Vessel</t>
  </si>
  <si>
    <t>55.Q0_Technical Specification for the supply of 316L(N)-IG austenitic stainless steel rolled plates for Ex-Vessel</t>
  </si>
  <si>
    <t>ITER_D_BFXDUS</t>
  </si>
  <si>
    <t>TOTAL ORDER QUANTITIES
FOR BATCH#1 (FIRM)</t>
  </si>
  <si>
    <t>TOTAL ORDER QUANTITIES
FOR BATCH#1 (FIRM) + BATCH#2 (OPTIONAL)</t>
  </si>
  <si>
    <t>Commodity Code description</t>
  </si>
  <si>
    <t>Commodity Code</t>
  </si>
  <si>
    <t>SSBAEWA5LCZ</t>
  </si>
  <si>
    <t>I17551929</t>
  </si>
  <si>
    <t>I17551932</t>
  </si>
  <si>
    <t>I17551939</t>
  </si>
  <si>
    <t>I17551968</t>
  </si>
  <si>
    <t>I17551976</t>
  </si>
  <si>
    <t>I17551978</t>
  </si>
  <si>
    <t>SSBFEWA5LCZ</t>
  </si>
  <si>
    <t>HEB ITER STD. 316L(N)-IG CAT1</t>
  </si>
  <si>
    <t>I17551732</t>
  </si>
  <si>
    <t>I17551734</t>
  </si>
  <si>
    <t>I17551738</t>
  </si>
  <si>
    <t>ANG. ITER STD. 316L(N)-IG CAT1</t>
  </si>
  <si>
    <t>SSBJEWA5LCZ</t>
  </si>
  <si>
    <t>IPE ITER STD. 316L(N)-IG CAT1</t>
  </si>
  <si>
    <t>I17551756</t>
  </si>
  <si>
    <t>I17551757</t>
  </si>
  <si>
    <t>I17551761</t>
  </si>
  <si>
    <t>I17551763</t>
  </si>
  <si>
    <t>SSBMEWA5LCZ</t>
  </si>
  <si>
    <t>UPE ITER STD. 316L(N)-IG CAT1</t>
  </si>
  <si>
    <t>I17551787</t>
  </si>
  <si>
    <t>I17551774</t>
  </si>
  <si>
    <t>I17551775</t>
  </si>
  <si>
    <t>I17551776</t>
  </si>
  <si>
    <t>I17551777</t>
  </si>
  <si>
    <t>I17551780</t>
  </si>
  <si>
    <t>I17551786</t>
  </si>
  <si>
    <t>SSBHEWA5LCZ</t>
  </si>
  <si>
    <t>UPN ITER STD. 316L(N)-IG CAT1</t>
  </si>
  <si>
    <t>I17551788</t>
  </si>
  <si>
    <t>I17551802</t>
  </si>
  <si>
    <t>I17551803</t>
  </si>
  <si>
    <t>ITER_D_AM7H27
3 beams with 9 m length in Batch#2, other beams are 6 m long</t>
  </si>
  <si>
    <t>8 x 1000 x 2000</t>
  </si>
  <si>
    <t>10 x 1000 x 2000</t>
  </si>
  <si>
    <t>15 x 1000 x 2000</t>
  </si>
  <si>
    <t>30 x 1000 x 2000</t>
  </si>
  <si>
    <t>2000</t>
  </si>
  <si>
    <r>
      <t>Quantities needed by the Clients, without margins - FOR INFORMATION.</t>
    </r>
    <r>
      <rPr>
        <i/>
        <sz val="11"/>
        <color theme="1"/>
        <rFont val="Calibri"/>
        <family val="2"/>
        <scheme val="minor"/>
      </rPr>
      <t xml:space="preserve"> Unit (surface m2 from CAD)</t>
    </r>
  </si>
  <si>
    <t>Delivery Period (*) 
and Batches
(as per columns AI to AK)</t>
  </si>
  <si>
    <t>P#1</t>
  </si>
  <si>
    <t>P#2</t>
  </si>
  <si>
    <t>P#3</t>
  </si>
  <si>
    <t>P#5</t>
  </si>
  <si>
    <t>P#8</t>
  </si>
  <si>
    <t>P#4</t>
  </si>
  <si>
    <t>P#6</t>
  </si>
  <si>
    <t>P#7</t>
  </si>
  <si>
    <t>Thickness 
+0/+0.5 mm</t>
  </si>
  <si>
    <t>ITER_D_AM7H27
2 beams with 7.5 m length in Batch#1, other beams are 6 m long</t>
  </si>
  <si>
    <t>Delivery Period (*) 
and Batches
(as per columns AN to AP)</t>
  </si>
  <si>
    <t>Batch#1 (firm, IO): 14 months
Batch#2 (option, RFDA): 10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</si>
</sst>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2"/>
      <color theme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i/>
      <sz val="12"/>
      <name val="Calibri"/>
      <family val="2"/>
      <scheme val="minor"/>
    </font>
    <font>
      <i/>
      <u/>
      <sz val="12"/>
      <color theme="10"/>
      <name val="Calibri"/>
      <family val="2"/>
      <scheme val="minor"/>
    </font>
    <font>
      <i/>
      <sz val="12"/>
      <color rgb="FF000000"/>
      <name val="Arial"/>
      <family val="2"/>
    </font>
    <font>
      <b/>
      <u/>
      <sz val="14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b/>
      <u/>
      <sz val="14"/>
      <color rgb="FF000000"/>
      <name val="Arial"/>
      <family val="2"/>
    </font>
    <font>
      <b/>
      <u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u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vertAlign val="superscript"/>
      <sz val="10"/>
      <color theme="1"/>
      <name val="Calibri"/>
      <family val="2"/>
      <scheme val="minor"/>
    </font>
    <font>
      <sz val="12"/>
      <color theme="1"/>
      <name val="Times New Roman"/>
      <family val="2"/>
    </font>
    <font>
      <b/>
      <vertAlign val="superscript"/>
      <sz val="10"/>
      <name val="Calibri"/>
      <family val="2"/>
      <scheme val="minor"/>
    </font>
    <font>
      <i/>
      <sz val="14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4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u/>
      <sz val="11"/>
      <color theme="10"/>
      <name val="Calibri"/>
      <family val="2"/>
      <scheme val="minor"/>
    </font>
    <font>
      <b/>
      <i/>
      <sz val="1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4" fillId="0" borderId="0"/>
    <xf numFmtId="0" fontId="34" fillId="0" borderId="0"/>
  </cellStyleXfs>
  <cellXfs count="29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6" fillId="0" borderId="0" xfId="0" applyFont="1"/>
    <xf numFmtId="49" fontId="1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49" fontId="3" fillId="0" borderId="13" xfId="0" applyNumberFormat="1" applyFont="1" applyBorder="1" applyAlignment="1">
      <alignment horizontal="center" vertical="center" wrapText="1"/>
    </xf>
    <xf numFmtId="49" fontId="3" fillId="0" borderId="15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wrapText="1"/>
    </xf>
    <xf numFmtId="0" fontId="10" fillId="0" borderId="0" xfId="0" applyFont="1"/>
    <xf numFmtId="0" fontId="9" fillId="0" borderId="0" xfId="0" applyFont="1" applyAlignment="1">
      <alignment horizontal="center" vertical="center" wrapText="1"/>
    </xf>
    <xf numFmtId="49" fontId="11" fillId="0" borderId="13" xfId="0" applyNumberFormat="1" applyFont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vertical="center" wrapText="1"/>
    </xf>
    <xf numFmtId="0" fontId="12" fillId="0" borderId="0" xfId="1" applyFont="1" applyFill="1"/>
    <xf numFmtId="0" fontId="16" fillId="0" borderId="0" xfId="0" applyFont="1"/>
    <xf numFmtId="0" fontId="16" fillId="0" borderId="0" xfId="0" applyFont="1" applyAlignment="1">
      <alignment wrapText="1"/>
    </xf>
    <xf numFmtId="0" fontId="16" fillId="0" borderId="0" xfId="0" applyFont="1" applyAlignment="1">
      <alignment horizontal="center" vertical="center" wrapText="1"/>
    </xf>
    <xf numFmtId="0" fontId="18" fillId="0" borderId="0" xfId="0" applyFont="1"/>
    <xf numFmtId="0" fontId="19" fillId="0" borderId="0" xfId="1" applyFont="1" applyFill="1"/>
    <xf numFmtId="0" fontId="20" fillId="0" borderId="0" xfId="0" applyFont="1"/>
    <xf numFmtId="0" fontId="21" fillId="0" borderId="0" xfId="1" applyFont="1" applyFill="1"/>
    <xf numFmtId="0" fontId="22" fillId="0" borderId="0" xfId="0" applyFont="1"/>
    <xf numFmtId="0" fontId="22" fillId="0" borderId="0" xfId="0" applyFont="1" applyAlignment="1">
      <alignment wrapText="1"/>
    </xf>
    <xf numFmtId="0" fontId="23" fillId="0" borderId="0" xfId="0" applyFont="1"/>
    <xf numFmtId="0" fontId="22" fillId="0" borderId="0" xfId="0" applyFont="1" applyAlignment="1">
      <alignment horizontal="center" vertical="center" wrapText="1"/>
    </xf>
    <xf numFmtId="0" fontId="24" fillId="0" borderId="0" xfId="0" applyFont="1"/>
    <xf numFmtId="49" fontId="1" fillId="0" borderId="11" xfId="0" applyNumberFormat="1" applyFont="1" applyBorder="1" applyAlignment="1">
      <alignment horizontal="center" vertical="center" wrapText="1"/>
    </xf>
    <xf numFmtId="49" fontId="13" fillId="0" borderId="21" xfId="0" applyNumberFormat="1" applyFont="1" applyBorder="1" applyAlignment="1">
      <alignment horizontal="center" vertical="center" wrapText="1"/>
    </xf>
    <xf numFmtId="49" fontId="3" fillId="0" borderId="15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49" fontId="25" fillId="0" borderId="0" xfId="0" applyNumberFormat="1" applyFont="1" applyAlignment="1">
      <alignment horizontal="left" vertical="center" wrapText="1"/>
    </xf>
    <xf numFmtId="0" fontId="27" fillId="0" borderId="0" xfId="0" applyFont="1"/>
    <xf numFmtId="49" fontId="1" fillId="0" borderId="28" xfId="0" applyNumberFormat="1" applyFont="1" applyBorder="1" applyAlignment="1">
      <alignment horizontal="center" vertical="center" wrapText="1"/>
    </xf>
    <xf numFmtId="49" fontId="1" fillId="0" borderId="29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49" fontId="13" fillId="0" borderId="35" xfId="0" applyNumberFormat="1" applyFont="1" applyBorder="1" applyAlignment="1">
      <alignment horizontal="center" vertical="center" wrapText="1"/>
    </xf>
    <xf numFmtId="49" fontId="3" fillId="4" borderId="12" xfId="0" applyNumberFormat="1" applyFont="1" applyFill="1" applyBorder="1" applyAlignment="1">
      <alignment horizontal="center" vertical="center" wrapText="1"/>
    </xf>
    <xf numFmtId="49" fontId="3" fillId="4" borderId="13" xfId="0" applyNumberFormat="1" applyFont="1" applyFill="1" applyBorder="1" applyAlignment="1">
      <alignment horizontal="center" vertical="center" wrapText="1"/>
    </xf>
    <xf numFmtId="49" fontId="1" fillId="4" borderId="17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5" fillId="0" borderId="0" xfId="0" applyFont="1"/>
    <xf numFmtId="49" fontId="5" fillId="4" borderId="1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/>
    </xf>
    <xf numFmtId="0" fontId="7" fillId="0" borderId="31" xfId="0" applyFont="1" applyBorder="1" applyAlignment="1">
      <alignment horizontal="center" wrapText="1"/>
    </xf>
    <xf numFmtId="0" fontId="30" fillId="0" borderId="32" xfId="0" applyFont="1" applyBorder="1" applyAlignment="1">
      <alignment horizontal="center" wrapText="1"/>
    </xf>
    <xf numFmtId="49" fontId="5" fillId="4" borderId="17" xfId="0" applyNumberFormat="1" applyFont="1" applyFill="1" applyBorder="1" applyAlignment="1">
      <alignment horizontal="center" vertical="center" wrapText="1"/>
    </xf>
    <xf numFmtId="49" fontId="5" fillId="4" borderId="20" xfId="0" applyNumberFormat="1" applyFont="1" applyFill="1" applyBorder="1" applyAlignment="1">
      <alignment horizontal="center" vertical="center" wrapText="1"/>
    </xf>
    <xf numFmtId="49" fontId="5" fillId="4" borderId="32" xfId="0" applyNumberFormat="1" applyFont="1" applyFill="1" applyBorder="1" applyAlignment="1">
      <alignment horizontal="center" vertical="center" wrapText="1"/>
    </xf>
    <xf numFmtId="49" fontId="11" fillId="4" borderId="10" xfId="0" applyNumberFormat="1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12" fillId="0" borderId="0" xfId="1" applyFont="1"/>
    <xf numFmtId="0" fontId="31" fillId="0" borderId="0" xfId="0" applyFont="1"/>
    <xf numFmtId="0" fontId="32" fillId="0" borderId="0" xfId="0" applyFont="1"/>
    <xf numFmtId="49" fontId="3" fillId="3" borderId="14" xfId="0" applyNumberFormat="1" applyFont="1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/>
    </xf>
    <xf numFmtId="0" fontId="7" fillId="0" borderId="24" xfId="0" applyFont="1" applyBorder="1" applyAlignment="1">
      <alignment horizontal="center" wrapText="1"/>
    </xf>
    <xf numFmtId="0" fontId="5" fillId="4" borderId="22" xfId="0" applyFont="1" applyFill="1" applyBorder="1" applyAlignment="1">
      <alignment horizontal="center" vertical="center" wrapText="1"/>
    </xf>
    <xf numFmtId="49" fontId="1" fillId="0" borderId="36" xfId="0" applyNumberFormat="1" applyFont="1" applyBorder="1" applyAlignment="1">
      <alignment horizontal="center" vertical="center" wrapText="1"/>
    </xf>
    <xf numFmtId="49" fontId="11" fillId="4" borderId="27" xfId="0" applyNumberFormat="1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49" fontId="14" fillId="0" borderId="27" xfId="0" applyNumberFormat="1" applyFont="1" applyBorder="1" applyAlignment="1">
      <alignment horizontal="center" vertical="center" wrapText="1"/>
    </xf>
    <xf numFmtId="49" fontId="14" fillId="0" borderId="10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left" vertical="center"/>
    </xf>
    <xf numFmtId="0" fontId="16" fillId="0" borderId="0" xfId="0" applyFont="1" applyAlignment="1">
      <alignment horizontal="center"/>
    </xf>
    <xf numFmtId="0" fontId="36" fillId="0" borderId="0" xfId="0" applyFont="1" applyAlignment="1">
      <alignment horizontal="center"/>
    </xf>
    <xf numFmtId="0" fontId="29" fillId="0" borderId="21" xfId="0" applyFont="1" applyBorder="1" applyAlignment="1">
      <alignment horizontal="center"/>
    </xf>
    <xf numFmtId="0" fontId="5" fillId="4" borderId="43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49" fontId="14" fillId="0" borderId="7" xfId="0" applyNumberFormat="1" applyFont="1" applyBorder="1" applyAlignment="1">
      <alignment horizontal="center" vertical="center" wrapText="1"/>
    </xf>
    <xf numFmtId="49" fontId="11" fillId="4" borderId="7" xfId="0" applyNumberFormat="1" applyFont="1" applyFill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49" fontId="5" fillId="4" borderId="16" xfId="0" applyNumberFormat="1" applyFont="1" applyFill="1" applyBorder="1" applyAlignment="1">
      <alignment horizontal="center" vertical="center" wrapText="1"/>
    </xf>
    <xf numFmtId="49" fontId="5" fillId="4" borderId="44" xfId="0" applyNumberFormat="1" applyFont="1" applyFill="1" applyBorder="1" applyAlignment="1">
      <alignment horizontal="center" vertical="center" wrapText="1"/>
    </xf>
    <xf numFmtId="49" fontId="1" fillId="0" borderId="27" xfId="0" applyNumberFormat="1" applyFont="1" applyBorder="1" applyAlignment="1">
      <alignment horizontal="center" vertical="center" wrapText="1"/>
    </xf>
    <xf numFmtId="49" fontId="1" fillId="0" borderId="16" xfId="0" applyNumberFormat="1" applyFont="1" applyBorder="1" applyAlignment="1">
      <alignment horizontal="center" vertical="center" wrapText="1"/>
    </xf>
    <xf numFmtId="49" fontId="1" fillId="0" borderId="37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0" fillId="3" borderId="39" xfId="0" applyFill="1" applyBorder="1" applyAlignment="1">
      <alignment horizontal="center" vertical="center"/>
    </xf>
    <xf numFmtId="0" fontId="6" fillId="3" borderId="39" xfId="0" applyFont="1" applyFill="1" applyBorder="1" applyAlignment="1">
      <alignment horizontal="center" vertical="center"/>
    </xf>
    <xf numFmtId="0" fontId="0" fillId="5" borderId="27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0" fillId="5" borderId="45" xfId="0" applyFill="1" applyBorder="1" applyAlignment="1">
      <alignment horizontal="center" vertical="center"/>
    </xf>
    <xf numFmtId="0" fontId="0" fillId="5" borderId="46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38" fillId="0" borderId="0" xfId="0" applyFont="1"/>
    <xf numFmtId="0" fontId="17" fillId="0" borderId="0" xfId="0" applyFont="1"/>
    <xf numFmtId="0" fontId="3" fillId="7" borderId="12" xfId="0" applyFont="1" applyFill="1" applyBorder="1" applyAlignment="1">
      <alignment horizontal="center" vertical="center" wrapText="1"/>
    </xf>
    <xf numFmtId="49" fontId="3" fillId="7" borderId="13" xfId="0" applyNumberFormat="1" applyFont="1" applyFill="1" applyBorder="1" applyAlignment="1">
      <alignment horizontal="center" vertical="center" wrapText="1"/>
    </xf>
    <xf numFmtId="49" fontId="3" fillId="7" borderId="15" xfId="0" applyNumberFormat="1" applyFont="1" applyFill="1" applyBorder="1" applyAlignment="1">
      <alignment horizontal="center" vertical="center" wrapText="1"/>
    </xf>
    <xf numFmtId="0" fontId="0" fillId="7" borderId="27" xfId="0" applyFill="1" applyBorder="1" applyAlignment="1">
      <alignment horizontal="center" vertical="center"/>
    </xf>
    <xf numFmtId="0" fontId="0" fillId="7" borderId="16" xfId="0" applyFill="1" applyBorder="1" applyAlignment="1">
      <alignment horizontal="center" vertical="center"/>
    </xf>
    <xf numFmtId="0" fontId="0" fillId="7" borderId="37" xfId="0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6" fillId="7" borderId="7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11" fillId="9" borderId="13" xfId="0" applyFont="1" applyFill="1" applyBorder="1" applyAlignment="1">
      <alignment horizontal="center" vertical="center" wrapText="1"/>
    </xf>
    <xf numFmtId="49" fontId="3" fillId="9" borderId="14" xfId="0" applyNumberFormat="1" applyFont="1" applyFill="1" applyBorder="1" applyAlignment="1">
      <alignment horizontal="center" vertical="center" wrapText="1"/>
    </xf>
    <xf numFmtId="0" fontId="0" fillId="9" borderId="27" xfId="0" applyFill="1" applyBorder="1" applyAlignment="1">
      <alignment horizontal="center" vertical="center"/>
    </xf>
    <xf numFmtId="0" fontId="0" fillId="9" borderId="10" xfId="0" applyFill="1" applyBorder="1" applyAlignment="1">
      <alignment horizontal="center" vertical="center"/>
    </xf>
    <xf numFmtId="0" fontId="0" fillId="9" borderId="39" xfId="0" applyFill="1" applyBorder="1" applyAlignment="1">
      <alignment horizontal="center" vertical="center"/>
    </xf>
    <xf numFmtId="0" fontId="0" fillId="9" borderId="7" xfId="0" applyFill="1" applyBorder="1" applyAlignment="1">
      <alignment horizontal="center" vertical="center"/>
    </xf>
    <xf numFmtId="0" fontId="6" fillId="9" borderId="7" xfId="0" applyFont="1" applyFill="1" applyBorder="1" applyAlignment="1">
      <alignment horizontal="center" vertical="center"/>
    </xf>
    <xf numFmtId="0" fontId="6" fillId="9" borderId="39" xfId="0" applyFont="1" applyFill="1" applyBorder="1" applyAlignment="1">
      <alignment horizontal="center" vertical="center"/>
    </xf>
    <xf numFmtId="0" fontId="3" fillId="10" borderId="12" xfId="0" applyFont="1" applyFill="1" applyBorder="1" applyAlignment="1">
      <alignment horizontal="center" vertical="center" wrapText="1"/>
    </xf>
    <xf numFmtId="49" fontId="3" fillId="10" borderId="13" xfId="0" applyNumberFormat="1" applyFont="1" applyFill="1" applyBorder="1" applyAlignment="1">
      <alignment horizontal="center" vertical="center" wrapText="1"/>
    </xf>
    <xf numFmtId="49" fontId="3" fillId="10" borderId="15" xfId="0" applyNumberFormat="1" applyFont="1" applyFill="1" applyBorder="1" applyAlignment="1">
      <alignment horizontal="center" vertical="center" wrapText="1"/>
    </xf>
    <xf numFmtId="0" fontId="0" fillId="10" borderId="27" xfId="0" applyFill="1" applyBorder="1" applyAlignment="1">
      <alignment horizontal="center" vertical="center"/>
    </xf>
    <xf numFmtId="0" fontId="0" fillId="10" borderId="16" xfId="0" applyFill="1" applyBorder="1" applyAlignment="1">
      <alignment horizontal="center" vertical="center"/>
    </xf>
    <xf numFmtId="0" fontId="0" fillId="10" borderId="37" xfId="0" applyFill="1" applyBorder="1" applyAlignment="1">
      <alignment horizontal="center" vertical="center"/>
    </xf>
    <xf numFmtId="0" fontId="0" fillId="10" borderId="7" xfId="0" applyFill="1" applyBorder="1" applyAlignment="1">
      <alignment horizontal="center" vertical="center"/>
    </xf>
    <xf numFmtId="0" fontId="0" fillId="10" borderId="2" xfId="0" applyFill="1" applyBorder="1" applyAlignment="1">
      <alignment horizontal="center" vertical="center"/>
    </xf>
    <xf numFmtId="0" fontId="0" fillId="10" borderId="4" xfId="0" applyFill="1" applyBorder="1" applyAlignment="1">
      <alignment horizontal="center" vertical="center"/>
    </xf>
    <xf numFmtId="0" fontId="6" fillId="10" borderId="7" xfId="0" applyFont="1" applyFill="1" applyBorder="1" applyAlignment="1">
      <alignment horizontal="center" vertical="center"/>
    </xf>
    <xf numFmtId="0" fontId="6" fillId="10" borderId="2" xfId="0" applyFont="1" applyFill="1" applyBorder="1" applyAlignment="1">
      <alignment horizontal="center" vertical="center"/>
    </xf>
    <xf numFmtId="0" fontId="6" fillId="10" borderId="4" xfId="0" applyFont="1" applyFill="1" applyBorder="1" applyAlignment="1">
      <alignment horizontal="center" vertical="center"/>
    </xf>
    <xf numFmtId="0" fontId="0" fillId="10" borderId="8" xfId="0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0" fillId="9" borderId="17" xfId="0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  <xf numFmtId="0" fontId="0" fillId="10" borderId="10" xfId="0" applyFill="1" applyBorder="1" applyAlignment="1">
      <alignment horizontal="center" vertical="center"/>
    </xf>
    <xf numFmtId="0" fontId="0" fillId="10" borderId="1" xfId="0" applyFill="1" applyBorder="1" applyAlignment="1">
      <alignment horizontal="center" vertical="center"/>
    </xf>
    <xf numFmtId="0" fontId="0" fillId="10" borderId="11" xfId="0" applyFill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28" fillId="0" borderId="21" xfId="0" applyFont="1" applyBorder="1" applyAlignment="1">
      <alignment horizontal="center"/>
    </xf>
    <xf numFmtId="49" fontId="1" fillId="0" borderId="45" xfId="0" applyNumberFormat="1" applyFont="1" applyBorder="1" applyAlignment="1">
      <alignment horizontal="center" vertical="center" wrapText="1"/>
    </xf>
    <xf numFmtId="49" fontId="1" fillId="0" borderId="48" xfId="0" applyNumberFormat="1" applyFont="1" applyBorder="1" applyAlignment="1">
      <alignment horizontal="center" vertical="center" wrapText="1"/>
    </xf>
    <xf numFmtId="49" fontId="5" fillId="0" borderId="48" xfId="0" applyNumberFormat="1" applyFont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wrapText="1"/>
    </xf>
    <xf numFmtId="0" fontId="29" fillId="5" borderId="42" xfId="0" applyFont="1" applyFill="1" applyBorder="1" applyAlignment="1">
      <alignment horizontal="center" vertical="center"/>
    </xf>
    <xf numFmtId="0" fontId="29" fillId="5" borderId="40" xfId="0" applyFont="1" applyFill="1" applyBorder="1" applyAlignment="1">
      <alignment horizontal="center" vertical="center"/>
    </xf>
    <xf numFmtId="0" fontId="40" fillId="5" borderId="40" xfId="0" applyFont="1" applyFill="1" applyBorder="1" applyAlignment="1">
      <alignment horizontal="center" vertical="center"/>
    </xf>
    <xf numFmtId="0" fontId="30" fillId="5" borderId="12" xfId="0" applyFont="1" applyFill="1" applyBorder="1" applyAlignment="1">
      <alignment horizontal="center" wrapText="1"/>
    </xf>
    <xf numFmtId="0" fontId="30" fillId="5" borderId="15" xfId="0" applyFont="1" applyFill="1" applyBorder="1" applyAlignment="1">
      <alignment horizontal="center" wrapText="1"/>
    </xf>
    <xf numFmtId="0" fontId="29" fillId="5" borderId="25" xfId="0" applyFont="1" applyFill="1" applyBorder="1" applyAlignment="1">
      <alignment horizontal="center" vertical="center"/>
    </xf>
    <xf numFmtId="0" fontId="41" fillId="0" borderId="0" xfId="1" applyFont="1"/>
    <xf numFmtId="49" fontId="14" fillId="2" borderId="2" xfId="0" applyNumberFormat="1" applyFont="1" applyFill="1" applyBorder="1" applyAlignment="1">
      <alignment horizontal="center" vertical="center" wrapText="1"/>
    </xf>
    <xf numFmtId="49" fontId="37" fillId="2" borderId="2" xfId="0" applyNumberFormat="1" applyFont="1" applyFill="1" applyBorder="1" applyAlignment="1">
      <alignment horizontal="center" vertical="center" wrapText="1"/>
    </xf>
    <xf numFmtId="49" fontId="14" fillId="2" borderId="7" xfId="0" applyNumberFormat="1" applyFont="1" applyFill="1" applyBorder="1" applyAlignment="1">
      <alignment horizontal="center" vertical="center" wrapText="1"/>
    </xf>
    <xf numFmtId="49" fontId="14" fillId="2" borderId="4" xfId="0" applyNumberFormat="1" applyFont="1" applyFill="1" applyBorder="1" applyAlignment="1">
      <alignment horizontal="center" vertical="center" wrapText="1"/>
    </xf>
    <xf numFmtId="49" fontId="37" fillId="2" borderId="7" xfId="0" applyNumberFormat="1" applyFont="1" applyFill="1" applyBorder="1" applyAlignment="1">
      <alignment horizontal="center" vertical="center" wrapText="1"/>
    </xf>
    <xf numFmtId="49" fontId="37" fillId="2" borderId="4" xfId="0" applyNumberFormat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13" fillId="2" borderId="15" xfId="0" applyNumberFormat="1" applyFont="1" applyFill="1" applyBorder="1" applyAlignment="1">
      <alignment horizontal="center" vertical="center" wrapText="1"/>
    </xf>
    <xf numFmtId="0" fontId="40" fillId="5" borderId="25" xfId="0" applyFont="1" applyFill="1" applyBorder="1" applyAlignment="1">
      <alignment horizontal="center" vertical="center"/>
    </xf>
    <xf numFmtId="1" fontId="28" fillId="0" borderId="30" xfId="0" applyNumberFormat="1" applyFont="1" applyBorder="1" applyAlignment="1">
      <alignment horizontal="center"/>
    </xf>
    <xf numFmtId="0" fontId="7" fillId="0" borderId="55" xfId="0" applyFont="1" applyBorder="1" applyAlignment="1">
      <alignment horizontal="center" wrapText="1"/>
    </xf>
    <xf numFmtId="0" fontId="30" fillId="0" borderId="14" xfId="0" applyFont="1" applyBorder="1" applyAlignment="1">
      <alignment horizontal="center" wrapText="1"/>
    </xf>
    <xf numFmtId="49" fontId="14" fillId="2" borderId="8" xfId="0" applyNumberFormat="1" applyFont="1" applyFill="1" applyBorder="1" applyAlignment="1">
      <alignment horizontal="center" vertic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49" fontId="14" fillId="2" borderId="5" xfId="0" applyNumberFormat="1" applyFont="1" applyFill="1" applyBorder="1" applyAlignment="1">
      <alignment horizontal="center" vertical="center" wrapText="1"/>
    </xf>
    <xf numFmtId="49" fontId="1" fillId="0" borderId="49" xfId="0" applyNumberFormat="1" applyFont="1" applyBorder="1" applyAlignment="1">
      <alignment horizontal="center" vertical="center" wrapText="1"/>
    </xf>
    <xf numFmtId="49" fontId="11" fillId="4" borderId="28" xfId="0" applyNumberFormat="1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3" borderId="38" xfId="0" applyFill="1" applyBorder="1" applyAlignment="1">
      <alignment horizontal="center" vertical="center"/>
    </xf>
    <xf numFmtId="0" fontId="0" fillId="9" borderId="8" xfId="0" applyFill="1" applyBorder="1" applyAlignment="1">
      <alignment horizontal="center" vertical="center"/>
    </xf>
    <xf numFmtId="0" fontId="0" fillId="9" borderId="38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29" fillId="5" borderId="41" xfId="0" applyFont="1" applyFill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0" fillId="3" borderId="44" xfId="0" applyFill="1" applyBorder="1" applyAlignment="1">
      <alignment horizontal="center" vertical="center"/>
    </xf>
    <xf numFmtId="0" fontId="0" fillId="9" borderId="16" xfId="0" applyFill="1" applyBorder="1" applyAlignment="1">
      <alignment horizontal="center" vertical="center"/>
    </xf>
    <xf numFmtId="0" fontId="0" fillId="9" borderId="44" xfId="0" applyFill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3" borderId="32" xfId="0" applyFill="1" applyBorder="1" applyAlignment="1">
      <alignment horizontal="center" vertical="center"/>
    </xf>
    <xf numFmtId="0" fontId="0" fillId="9" borderId="32" xfId="0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9" borderId="2" xfId="0" applyFont="1" applyFill="1" applyBorder="1" applyAlignment="1">
      <alignment horizontal="center" vertical="center"/>
    </xf>
    <xf numFmtId="0" fontId="6" fillId="9" borderId="17" xfId="0" applyFont="1" applyFill="1" applyBorder="1" applyAlignment="1">
      <alignment horizontal="center" vertical="center"/>
    </xf>
    <xf numFmtId="0" fontId="40" fillId="0" borderId="0" xfId="0" applyFont="1" applyAlignment="1">
      <alignment horizontal="center"/>
    </xf>
    <xf numFmtId="164" fontId="5" fillId="4" borderId="16" xfId="0" applyNumberFormat="1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164" fontId="5" fillId="4" borderId="2" xfId="0" applyNumberFormat="1" applyFont="1" applyFill="1" applyBorder="1" applyAlignment="1">
      <alignment horizontal="center" vertical="center" wrapText="1"/>
    </xf>
    <xf numFmtId="2" fontId="5" fillId="4" borderId="37" xfId="0" applyNumberFormat="1" applyFont="1" applyFill="1" applyBorder="1" applyAlignment="1">
      <alignment horizontal="center" vertical="center" wrapText="1"/>
    </xf>
    <xf numFmtId="2" fontId="5" fillId="4" borderId="11" xfId="0" applyNumberFormat="1" applyFont="1" applyFill="1" applyBorder="1" applyAlignment="1">
      <alignment horizontal="center" vertical="center" wrapText="1"/>
    </xf>
    <xf numFmtId="49" fontId="5" fillId="4" borderId="11" xfId="0" applyNumberFormat="1" applyFont="1" applyFill="1" applyBorder="1" applyAlignment="1">
      <alignment horizontal="center" vertical="center" wrapText="1"/>
    </xf>
    <xf numFmtId="164" fontId="5" fillId="4" borderId="32" xfId="0" applyNumberFormat="1" applyFont="1" applyFill="1" applyBorder="1" applyAlignment="1">
      <alignment horizontal="center" vertical="center" wrapText="1"/>
    </xf>
    <xf numFmtId="49" fontId="5" fillId="4" borderId="29" xfId="0" applyNumberFormat="1" applyFont="1" applyFill="1" applyBorder="1" applyAlignment="1">
      <alignment horizontal="center" vertical="center" wrapText="1"/>
    </xf>
    <xf numFmtId="0" fontId="30" fillId="5" borderId="14" xfId="0" applyFont="1" applyFill="1" applyBorder="1" applyAlignment="1">
      <alignment horizontal="center" wrapText="1"/>
    </xf>
    <xf numFmtId="0" fontId="0" fillId="5" borderId="44" xfId="0" applyFill="1" applyBorder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0" fontId="0" fillId="5" borderId="18" xfId="0" applyFill="1" applyBorder="1" applyAlignment="1">
      <alignment horizontal="center" vertical="center"/>
    </xf>
    <xf numFmtId="0" fontId="6" fillId="5" borderId="18" xfId="0" applyFont="1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5" borderId="42" xfId="0" applyFill="1" applyBorder="1" applyAlignment="1">
      <alignment horizontal="center" vertical="center"/>
    </xf>
    <xf numFmtId="0" fontId="0" fillId="5" borderId="25" xfId="0" applyFill="1" applyBorder="1" applyAlignment="1">
      <alignment horizontal="center" vertical="center"/>
    </xf>
    <xf numFmtId="0" fontId="0" fillId="5" borderId="40" xfId="0" applyFill="1" applyBorder="1" applyAlignment="1">
      <alignment horizontal="center" vertical="center"/>
    </xf>
    <xf numFmtId="0" fontId="6" fillId="5" borderId="40" xfId="0" applyFont="1" applyFill="1" applyBorder="1" applyAlignment="1">
      <alignment horizontal="center" vertical="center"/>
    </xf>
    <xf numFmtId="0" fontId="0" fillId="5" borderId="4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1" fontId="0" fillId="3" borderId="44" xfId="0" applyNumberFormat="1" applyFill="1" applyBorder="1" applyAlignment="1">
      <alignment horizontal="center" vertical="center"/>
    </xf>
    <xf numFmtId="1" fontId="0" fillId="3" borderId="17" xfId="0" applyNumberFormat="1" applyFill="1" applyBorder="1" applyAlignment="1">
      <alignment horizontal="center" vertical="center"/>
    </xf>
    <xf numFmtId="1" fontId="6" fillId="3" borderId="17" xfId="0" applyNumberFormat="1" applyFont="1" applyFill="1" applyBorder="1" applyAlignment="1">
      <alignment horizontal="center" vertical="center"/>
    </xf>
    <xf numFmtId="1" fontId="0" fillId="3" borderId="32" xfId="0" applyNumberFormat="1" applyFill="1" applyBorder="1" applyAlignment="1">
      <alignment horizontal="center" vertical="center"/>
    </xf>
    <xf numFmtId="1" fontId="0" fillId="9" borderId="44" xfId="0" applyNumberFormat="1" applyFill="1" applyBorder="1" applyAlignment="1">
      <alignment horizontal="center" vertical="center"/>
    </xf>
    <xf numFmtId="1" fontId="0" fillId="9" borderId="17" xfId="0" applyNumberFormat="1" applyFill="1" applyBorder="1" applyAlignment="1">
      <alignment horizontal="center" vertical="center"/>
    </xf>
    <xf numFmtId="1" fontId="6" fillId="9" borderId="17" xfId="0" applyNumberFormat="1" applyFont="1" applyFill="1" applyBorder="1" applyAlignment="1">
      <alignment horizontal="center" vertical="center"/>
    </xf>
    <xf numFmtId="1" fontId="0" fillId="9" borderId="32" xfId="0" applyNumberFormat="1" applyFill="1" applyBorder="1" applyAlignment="1">
      <alignment horizontal="center" vertical="center"/>
    </xf>
    <xf numFmtId="49" fontId="14" fillId="0" borderId="42" xfId="0" applyNumberFormat="1" applyFont="1" applyBorder="1" applyAlignment="1">
      <alignment horizontal="center" vertical="center" wrapText="1"/>
    </xf>
    <xf numFmtId="49" fontId="14" fillId="0" borderId="40" xfId="0" applyNumberFormat="1" applyFont="1" applyBorder="1" applyAlignment="1">
      <alignment horizontal="center" vertical="center" wrapText="1"/>
    </xf>
    <xf numFmtId="49" fontId="14" fillId="0" borderId="25" xfId="0" applyNumberFormat="1" applyFont="1" applyBorder="1" applyAlignment="1">
      <alignment horizontal="center" vertical="center" wrapText="1"/>
    </xf>
    <xf numFmtId="49" fontId="37" fillId="0" borderId="25" xfId="0" applyNumberFormat="1" applyFont="1" applyBorder="1" applyAlignment="1">
      <alignment horizontal="center" vertical="center" wrapText="1"/>
    </xf>
    <xf numFmtId="49" fontId="14" fillId="0" borderId="30" xfId="0" applyNumberFormat="1" applyFont="1" applyBorder="1" applyAlignment="1">
      <alignment horizontal="center" vertical="center" wrapText="1"/>
    </xf>
    <xf numFmtId="49" fontId="1" fillId="0" borderId="46" xfId="0" applyNumberFormat="1" applyFont="1" applyBorder="1" applyAlignment="1">
      <alignment horizontal="center" vertical="center" wrapText="1"/>
    </xf>
    <xf numFmtId="49" fontId="14" fillId="0" borderId="8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14" fillId="2" borderId="27" xfId="0" applyNumberFormat="1" applyFont="1" applyFill="1" applyBorder="1" applyAlignment="1">
      <alignment horizontal="center" vertical="center" wrapText="1"/>
    </xf>
    <xf numFmtId="49" fontId="14" fillId="2" borderId="16" xfId="0" applyNumberFormat="1" applyFont="1" applyFill="1" applyBorder="1" applyAlignment="1">
      <alignment horizontal="center" vertical="center" wrapText="1"/>
    </xf>
    <xf numFmtId="49" fontId="14" fillId="2" borderId="37" xfId="0" applyNumberFormat="1" applyFont="1" applyFill="1" applyBorder="1" applyAlignment="1">
      <alignment horizontal="center" vertical="center" wrapText="1"/>
    </xf>
    <xf numFmtId="49" fontId="0" fillId="3" borderId="34" xfId="0" applyNumberFormat="1" applyFill="1" applyBorder="1" applyAlignment="1">
      <alignment horizontal="center" vertical="center"/>
    </xf>
    <xf numFmtId="49" fontId="0" fillId="9" borderId="34" xfId="0" applyNumberFormat="1" applyFill="1" applyBorder="1" applyAlignment="1">
      <alignment horizontal="center" vertical="center"/>
    </xf>
    <xf numFmtId="49" fontId="42" fillId="0" borderId="35" xfId="0" applyNumberFormat="1" applyFont="1" applyBorder="1" applyAlignment="1">
      <alignment horizontal="center" vertical="center" wrapText="1"/>
    </xf>
    <xf numFmtId="49" fontId="11" fillId="0" borderId="15" xfId="0" applyNumberFormat="1" applyFont="1" applyBorder="1" applyAlignment="1">
      <alignment horizontal="center" vertical="center"/>
    </xf>
    <xf numFmtId="49" fontId="37" fillId="0" borderId="27" xfId="0" applyNumberFormat="1" applyFont="1" applyBorder="1" applyAlignment="1">
      <alignment horizontal="center" vertical="center" wrapText="1"/>
    </xf>
    <xf numFmtId="49" fontId="5" fillId="0" borderId="45" xfId="0" applyNumberFormat="1" applyFont="1" applyBorder="1" applyAlignment="1">
      <alignment horizontal="center" vertical="center" wrapText="1"/>
    </xf>
    <xf numFmtId="49" fontId="37" fillId="0" borderId="7" xfId="0" applyNumberFormat="1" applyFont="1" applyBorder="1" applyAlignment="1">
      <alignment horizontal="center" vertical="center" wrapText="1"/>
    </xf>
    <xf numFmtId="49" fontId="37" fillId="0" borderId="10" xfId="0" applyNumberFormat="1" applyFont="1" applyBorder="1" applyAlignment="1">
      <alignment horizontal="center" vertical="center" wrapText="1"/>
    </xf>
    <xf numFmtId="49" fontId="37" fillId="0" borderId="28" xfId="0" applyNumberFormat="1" applyFont="1" applyBorder="1" applyAlignment="1">
      <alignment horizontal="center" vertical="center" wrapText="1"/>
    </xf>
    <xf numFmtId="49" fontId="5" fillId="0" borderId="49" xfId="0" applyNumberFormat="1" applyFont="1" applyBorder="1" applyAlignment="1">
      <alignment horizontal="center" vertical="center" wrapText="1"/>
    </xf>
    <xf numFmtId="49" fontId="11" fillId="11" borderId="56" xfId="0" applyNumberFormat="1" applyFont="1" applyFill="1" applyBorder="1" applyAlignment="1">
      <alignment horizontal="center" vertical="center" wrapText="1"/>
    </xf>
    <xf numFmtId="0" fontId="0" fillId="11" borderId="42" xfId="0" applyFill="1" applyBorder="1" applyAlignment="1">
      <alignment horizontal="center" vertical="center" wrapText="1"/>
    </xf>
    <xf numFmtId="0" fontId="0" fillId="11" borderId="40" xfId="0" applyFill="1" applyBorder="1" applyAlignment="1">
      <alignment horizontal="center" vertical="center" wrapText="1"/>
    </xf>
    <xf numFmtId="0" fontId="6" fillId="11" borderId="40" xfId="0" applyFont="1" applyFill="1" applyBorder="1" applyAlignment="1">
      <alignment horizontal="center" vertical="center" wrapText="1"/>
    </xf>
    <xf numFmtId="0" fontId="0" fillId="11" borderId="41" xfId="0" applyFill="1" applyBorder="1" applyAlignment="1">
      <alignment horizontal="center" vertical="center" wrapText="1"/>
    </xf>
    <xf numFmtId="49" fontId="11" fillId="11" borderId="21" xfId="0" applyNumberFormat="1" applyFont="1" applyFill="1" applyBorder="1" applyAlignment="1">
      <alignment horizontal="center" vertical="center" wrapText="1"/>
    </xf>
    <xf numFmtId="0" fontId="0" fillId="11" borderId="25" xfId="0" applyFill="1" applyBorder="1" applyAlignment="1">
      <alignment horizontal="center" vertical="center" wrapText="1"/>
    </xf>
    <xf numFmtId="0" fontId="28" fillId="0" borderId="52" xfId="0" applyFont="1" applyBorder="1" applyAlignment="1">
      <alignment horizontal="center" wrapText="1"/>
    </xf>
    <xf numFmtId="0" fontId="28" fillId="0" borderId="53" xfId="0" applyFont="1" applyBorder="1" applyAlignment="1">
      <alignment horizontal="center" wrapText="1"/>
    </xf>
    <xf numFmtId="0" fontId="28" fillId="5" borderId="51" xfId="0" applyFont="1" applyFill="1" applyBorder="1" applyAlignment="1">
      <alignment horizontal="center" wrapText="1"/>
    </xf>
    <xf numFmtId="0" fontId="28" fillId="5" borderId="50" xfId="0" applyFont="1" applyFill="1" applyBorder="1" applyAlignment="1">
      <alignment horizontal="center" wrapText="1"/>
    </xf>
    <xf numFmtId="0" fontId="28" fillId="5" borderId="47" xfId="0" applyFont="1" applyFill="1" applyBorder="1" applyAlignment="1">
      <alignment horizontal="center" wrapText="1"/>
    </xf>
    <xf numFmtId="0" fontId="39" fillId="6" borderId="52" xfId="0" applyFont="1" applyFill="1" applyBorder="1" applyAlignment="1">
      <alignment horizontal="center" wrapText="1"/>
    </xf>
    <xf numFmtId="0" fontId="39" fillId="6" borderId="53" xfId="0" applyFont="1" applyFill="1" applyBorder="1" applyAlignment="1">
      <alignment horizontal="center" wrapText="1"/>
    </xf>
    <xf numFmtId="0" fontId="39" fillId="6" borderId="54" xfId="0" applyFont="1" applyFill="1" applyBorder="1" applyAlignment="1">
      <alignment horizontal="center" wrapText="1"/>
    </xf>
    <xf numFmtId="0" fontId="39" fillId="8" borderId="52" xfId="0" applyFont="1" applyFill="1" applyBorder="1" applyAlignment="1">
      <alignment horizontal="center" wrapText="1"/>
    </xf>
    <xf numFmtId="0" fontId="39" fillId="8" borderId="53" xfId="0" applyFont="1" applyFill="1" applyBorder="1" applyAlignment="1">
      <alignment horizontal="center" wrapText="1"/>
    </xf>
    <xf numFmtId="0" fontId="39" fillId="8" borderId="54" xfId="0" applyFont="1" applyFill="1" applyBorder="1" applyAlignment="1">
      <alignment horizontal="center" wrapText="1"/>
    </xf>
    <xf numFmtId="0" fontId="28" fillId="0" borderId="33" xfId="0" applyFont="1" applyBorder="1" applyAlignment="1">
      <alignment horizontal="center" wrapText="1"/>
    </xf>
    <xf numFmtId="0" fontId="28" fillId="0" borderId="34" xfId="0" applyFont="1" applyBorder="1" applyAlignment="1">
      <alignment horizontal="center" wrapText="1"/>
    </xf>
    <xf numFmtId="0" fontId="29" fillId="5" borderId="12" xfId="0" applyFont="1" applyFill="1" applyBorder="1" applyAlignment="1">
      <alignment horizontal="center" wrapText="1"/>
    </xf>
    <xf numFmtId="0" fontId="29" fillId="5" borderId="13" xfId="0" applyFont="1" applyFill="1" applyBorder="1" applyAlignment="1">
      <alignment horizontal="center" wrapText="1"/>
    </xf>
    <xf numFmtId="0" fontId="29" fillId="5" borderId="15" xfId="0" applyFont="1" applyFill="1" applyBorder="1" applyAlignment="1">
      <alignment horizontal="center" wrapText="1"/>
    </xf>
  </cellXfs>
  <cellStyles count="4">
    <cellStyle name="Hyperlink" xfId="1" builtinId="8"/>
    <cellStyle name="Normal" xfId="0" builtinId="0"/>
    <cellStyle name="Normal 2" xfId="2" xr:uid="{00000000-0005-0000-0000-000002000000}"/>
    <cellStyle name="Normal 3" xfId="3" xr:uid="{7BE49AAE-1C41-4850-AC88-800C22BD1747}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Beck Thierry" id="{72A5D496-9F43-4311-AB98-440FEB137521}" userId="S::Thierry.Beck@iter.org::8866cae3-18fe-4845-aff3-ce7e37aa752b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M8" dT="2024-06-18T15:01:31.43" personId="{72A5D496-9F43-4311-AB98-440FEB137521}" id="{7E695E0F-42EF-4F40-8E41-9813DAF3DAB6}">
    <text>Including new ISS bridge design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user.iter.org/?uid=AM7H27" TargetMode="External"/><Relationship Id="rId1" Type="http://schemas.openxmlformats.org/officeDocument/2006/relationships/hyperlink" Target="https://user.iter.org/?uid=AM7J5M" TargetMode="External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user.iter.org/?uid=BFXDUS" TargetMode="External"/><Relationship Id="rId1" Type="http://schemas.openxmlformats.org/officeDocument/2006/relationships/hyperlink" Target="https://user.iter.org/?uid=AM7J5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AQ37"/>
  <sheetViews>
    <sheetView showGridLines="0" tabSelected="1" zoomScale="85" zoomScaleNormal="85" workbookViewId="0">
      <pane xSplit="12" topLeftCell="M1" activePane="topRight" state="frozen"/>
      <selection pane="topRight" activeCell="P7" sqref="P7"/>
    </sheetView>
  </sheetViews>
  <sheetFormatPr defaultRowHeight="15" x14ac:dyDescent="0.25"/>
  <cols>
    <col min="1" max="1" width="17.85546875" customWidth="1"/>
    <col min="2" max="2" width="17.7109375" customWidth="1"/>
    <col min="3" max="3" width="12.85546875" customWidth="1"/>
    <col min="4" max="4" width="7.28515625" customWidth="1"/>
    <col min="5" max="5" width="8.140625" customWidth="1"/>
    <col min="6" max="6" width="22.140625" customWidth="1"/>
    <col min="7" max="7" width="9.7109375" customWidth="1"/>
    <col min="8" max="8" width="10.42578125" customWidth="1"/>
    <col min="9" max="11" width="10.42578125" style="1" customWidth="1"/>
    <col min="12" max="12" width="11" customWidth="1"/>
    <col min="13" max="13" width="18.42578125" customWidth="1"/>
    <col min="14" max="14" width="14.85546875" customWidth="1"/>
    <col min="15" max="15" width="11.42578125" customWidth="1"/>
    <col min="16" max="16" width="10.140625" style="5" customWidth="1"/>
    <col min="17" max="17" width="9.42578125" customWidth="1"/>
    <col min="18" max="18" width="9.5703125" customWidth="1"/>
    <col min="19" max="19" width="9.140625" customWidth="1"/>
    <col min="20" max="20" width="10.85546875" customWidth="1"/>
    <col min="21" max="21" width="17" customWidth="1"/>
    <col min="22" max="22" width="32.85546875" customWidth="1"/>
    <col min="23" max="24" width="16.140625" customWidth="1"/>
    <col min="25" max="25" width="11" style="2" customWidth="1"/>
    <col min="26" max="26" width="11.140625" customWidth="1"/>
    <col min="27" max="28" width="11.28515625" customWidth="1"/>
    <col min="29" max="30" width="16.140625" customWidth="1"/>
    <col min="31" max="31" width="11" style="2" customWidth="1"/>
    <col min="32" max="32" width="11.140625" customWidth="1"/>
    <col min="33" max="34" width="11.28515625" customWidth="1"/>
    <col min="35" max="35" width="36.7109375" customWidth="1"/>
    <col min="36" max="39" width="11.7109375" customWidth="1"/>
    <col min="40" max="40" width="15.42578125" customWidth="1"/>
    <col min="41" max="41" width="15.28515625" customWidth="1"/>
    <col min="42" max="42" width="19.28515625" customWidth="1"/>
    <col min="43" max="43" width="9.140625" style="51"/>
  </cols>
  <sheetData>
    <row r="1" spans="1:43" s="29" customFormat="1" ht="18.600000000000001" x14ac:dyDescent="0.3">
      <c r="A1" s="33" t="s">
        <v>141</v>
      </c>
      <c r="B1" s="33"/>
      <c r="C1" s="33"/>
      <c r="D1" s="33"/>
      <c r="E1" s="33"/>
      <c r="F1" s="28"/>
      <c r="I1" s="30"/>
      <c r="J1" s="30"/>
      <c r="K1" s="30"/>
      <c r="P1" s="31"/>
      <c r="Y1" s="32"/>
      <c r="AE1" s="32"/>
      <c r="AK1" s="122"/>
      <c r="AQ1" s="88"/>
    </row>
    <row r="2" spans="1:43" s="15" customFormat="1" ht="16.350000000000001" x14ac:dyDescent="0.3">
      <c r="A2" s="14" t="s">
        <v>14</v>
      </c>
      <c r="B2" s="71" t="s">
        <v>29</v>
      </c>
      <c r="D2" s="14"/>
      <c r="I2" s="16"/>
      <c r="J2" s="16"/>
      <c r="K2" s="16"/>
      <c r="P2" s="17"/>
      <c r="Y2" s="18"/>
      <c r="AE2" s="18"/>
      <c r="AK2" s="49"/>
      <c r="AQ2" s="87"/>
    </row>
    <row r="3" spans="1:43" s="15" customFormat="1" ht="16.350000000000001" x14ac:dyDescent="0.3">
      <c r="A3" s="14"/>
      <c r="B3" s="14"/>
      <c r="C3" s="14"/>
      <c r="D3" s="14"/>
      <c r="E3" s="14"/>
      <c r="F3" s="21"/>
      <c r="I3" s="16"/>
      <c r="J3" s="16"/>
      <c r="K3" s="16"/>
      <c r="P3" s="17"/>
      <c r="Y3" s="18"/>
      <c r="AE3" s="18"/>
      <c r="AQ3" s="87"/>
    </row>
    <row r="4" spans="1:43" s="22" customFormat="1" ht="16.350000000000001" x14ac:dyDescent="0.3">
      <c r="A4" s="40" t="s">
        <v>23</v>
      </c>
      <c r="B4" s="40"/>
      <c r="C4" s="40"/>
      <c r="E4" s="15"/>
      <c r="F4" s="26"/>
      <c r="I4" s="23"/>
      <c r="J4" s="23"/>
      <c r="K4" s="23"/>
      <c r="P4" s="49"/>
      <c r="Q4" s="15"/>
      <c r="U4" s="15"/>
      <c r="Y4" s="24"/>
      <c r="AA4" s="15"/>
      <c r="AB4" s="15"/>
      <c r="AC4" s="15"/>
      <c r="AE4" s="24"/>
      <c r="AK4" s="15"/>
      <c r="AL4" s="123"/>
      <c r="AQ4" s="87"/>
    </row>
    <row r="5" spans="1:43" s="22" customFormat="1" ht="16.350000000000001" x14ac:dyDescent="0.3">
      <c r="A5" s="27" t="s">
        <v>30</v>
      </c>
      <c r="B5" s="27"/>
      <c r="C5" s="27"/>
      <c r="D5" s="27"/>
      <c r="E5" s="73"/>
      <c r="F5" s="26"/>
      <c r="I5" s="23"/>
      <c r="J5" s="23"/>
      <c r="K5" s="23"/>
      <c r="P5" s="17"/>
      <c r="Q5" s="15"/>
      <c r="Y5" s="24"/>
      <c r="AE5" s="24"/>
      <c r="AQ5" s="87"/>
    </row>
    <row r="6" spans="1:43" s="22" customFormat="1" ht="17.100000000000001" thickBot="1" x14ac:dyDescent="0.35">
      <c r="A6" s="22" t="s">
        <v>14</v>
      </c>
      <c r="B6" s="26" t="s">
        <v>31</v>
      </c>
      <c r="I6" s="23"/>
      <c r="J6" s="23"/>
      <c r="K6" s="23"/>
      <c r="P6" s="25"/>
      <c r="Y6" s="24"/>
      <c r="AE6" s="24"/>
      <c r="AQ6" s="87"/>
    </row>
    <row r="7" spans="1:43" ht="38.450000000000003" customHeight="1" thickBot="1" x14ac:dyDescent="0.35">
      <c r="L7" s="22"/>
      <c r="W7" s="285" t="s">
        <v>144</v>
      </c>
      <c r="X7" s="286"/>
      <c r="Y7" s="286"/>
      <c r="Z7" s="286"/>
      <c r="AA7" s="286"/>
      <c r="AB7" s="287"/>
      <c r="AC7" s="288" t="s">
        <v>145</v>
      </c>
      <c r="AD7" s="289"/>
      <c r="AE7" s="289"/>
      <c r="AF7" s="289"/>
      <c r="AG7" s="289"/>
      <c r="AH7" s="290"/>
      <c r="AJ7" s="280" t="s">
        <v>25</v>
      </c>
      <c r="AK7" s="281"/>
      <c r="AL7" s="281"/>
      <c r="AM7" s="281"/>
      <c r="AN7" s="282" t="s">
        <v>140</v>
      </c>
      <c r="AO7" s="283"/>
      <c r="AP7" s="284"/>
    </row>
    <row r="8" spans="1:43" s="13" customFormat="1" ht="54.95" thickBot="1" x14ac:dyDescent="0.3">
      <c r="A8" s="192" t="s">
        <v>147</v>
      </c>
      <c r="B8" s="193" t="s">
        <v>146</v>
      </c>
      <c r="C8" s="194" t="s">
        <v>0</v>
      </c>
      <c r="D8" s="265" t="s">
        <v>22</v>
      </c>
      <c r="E8" s="266" t="s">
        <v>4</v>
      </c>
      <c r="F8" s="45" t="s">
        <v>1</v>
      </c>
      <c r="G8" s="46" t="s">
        <v>33</v>
      </c>
      <c r="H8" s="46" t="s">
        <v>34</v>
      </c>
      <c r="I8" s="46" t="s">
        <v>35</v>
      </c>
      <c r="J8" s="46" t="s">
        <v>51</v>
      </c>
      <c r="K8" s="46" t="s">
        <v>36</v>
      </c>
      <c r="L8" s="46" t="s">
        <v>64</v>
      </c>
      <c r="M8" s="9" t="s">
        <v>2</v>
      </c>
      <c r="N8" s="19" t="s">
        <v>3</v>
      </c>
      <c r="O8" s="10" t="s">
        <v>53</v>
      </c>
      <c r="P8" s="9" t="s">
        <v>21</v>
      </c>
      <c r="Q8" s="10" t="s">
        <v>5</v>
      </c>
      <c r="R8" s="10" t="s">
        <v>6</v>
      </c>
      <c r="S8" s="10" t="s">
        <v>7</v>
      </c>
      <c r="T8" s="11" t="s">
        <v>16</v>
      </c>
      <c r="U8" s="37" t="s">
        <v>8</v>
      </c>
      <c r="V8" s="11" t="s">
        <v>9</v>
      </c>
      <c r="W8" s="59" t="s">
        <v>112</v>
      </c>
      <c r="X8" s="59" t="s">
        <v>107</v>
      </c>
      <c r="Y8" s="74" t="s">
        <v>65</v>
      </c>
      <c r="Z8" s="124" t="s">
        <v>38</v>
      </c>
      <c r="AA8" s="125" t="s">
        <v>15</v>
      </c>
      <c r="AB8" s="126" t="s">
        <v>37</v>
      </c>
      <c r="AC8" s="139" t="s">
        <v>112</v>
      </c>
      <c r="AD8" s="139" t="s">
        <v>107</v>
      </c>
      <c r="AE8" s="140" t="s">
        <v>65</v>
      </c>
      <c r="AF8" s="147" t="s">
        <v>38</v>
      </c>
      <c r="AG8" s="148" t="s">
        <v>15</v>
      </c>
      <c r="AH8" s="149" t="s">
        <v>37</v>
      </c>
      <c r="AI8" s="273" t="s">
        <v>199</v>
      </c>
      <c r="AJ8" s="197" t="s">
        <v>26</v>
      </c>
      <c r="AK8" s="197" t="s">
        <v>27</v>
      </c>
      <c r="AL8" s="197" t="s">
        <v>72</v>
      </c>
      <c r="AM8" s="198" t="s">
        <v>28</v>
      </c>
      <c r="AN8" s="182" t="s">
        <v>137</v>
      </c>
      <c r="AO8" s="183" t="s">
        <v>138</v>
      </c>
      <c r="AP8" s="178" t="s">
        <v>139</v>
      </c>
      <c r="AQ8" s="51" t="s">
        <v>24</v>
      </c>
    </row>
    <row r="9" spans="1:43" ht="38.25" x14ac:dyDescent="0.25">
      <c r="A9" s="260" t="s">
        <v>155</v>
      </c>
      <c r="B9" s="261" t="s">
        <v>156</v>
      </c>
      <c r="C9" s="262" t="s">
        <v>157</v>
      </c>
      <c r="D9" s="267" t="s">
        <v>114</v>
      </c>
      <c r="E9" s="268" t="s">
        <v>60</v>
      </c>
      <c r="F9" s="79" t="s">
        <v>40</v>
      </c>
      <c r="G9" s="90">
        <v>100</v>
      </c>
      <c r="H9" s="91">
        <v>100</v>
      </c>
      <c r="I9" s="102">
        <v>6</v>
      </c>
      <c r="J9" s="103">
        <v>10</v>
      </c>
      <c r="K9" s="103" t="s">
        <v>77</v>
      </c>
      <c r="L9" s="103">
        <v>20.65</v>
      </c>
      <c r="M9" s="104" t="s">
        <v>39</v>
      </c>
      <c r="N9" s="105" t="s">
        <v>54</v>
      </c>
      <c r="O9" s="105" t="s">
        <v>55</v>
      </c>
      <c r="P9" s="104" t="s">
        <v>10</v>
      </c>
      <c r="Q9" s="105" t="s">
        <v>10</v>
      </c>
      <c r="R9" s="105" t="s">
        <v>52</v>
      </c>
      <c r="S9" s="105" t="s">
        <v>11</v>
      </c>
      <c r="T9" s="106" t="s">
        <v>10</v>
      </c>
      <c r="U9" s="107" t="s">
        <v>20</v>
      </c>
      <c r="V9" s="108" t="s">
        <v>31</v>
      </c>
      <c r="W9" s="109">
        <f>AN9+AO9</f>
        <v>114</v>
      </c>
      <c r="X9" s="263">
        <f>W9/K9</f>
        <v>19</v>
      </c>
      <c r="Y9" s="244">
        <f>W9*L9</f>
        <v>2354.1</v>
      </c>
      <c r="Z9" s="127"/>
      <c r="AA9" s="128"/>
      <c r="AB9" s="129"/>
      <c r="AC9" s="141">
        <f t="shared" ref="AC9:AC31" si="0">AN9+AO9+AP9</f>
        <v>114</v>
      </c>
      <c r="AD9" s="264">
        <f>AC9/K9</f>
        <v>19</v>
      </c>
      <c r="AE9" s="248">
        <f>AC9*L9</f>
        <v>2354.1</v>
      </c>
      <c r="AF9" s="150"/>
      <c r="AG9" s="151"/>
      <c r="AH9" s="152"/>
      <c r="AI9" s="274" t="s">
        <v>200</v>
      </c>
      <c r="AJ9" s="110"/>
      <c r="AK9" s="110"/>
      <c r="AL9" s="110"/>
      <c r="AM9" s="216">
        <f>24+31+15</f>
        <v>70</v>
      </c>
      <c r="AN9" s="115">
        <f>6*(ROUND(AM9*1.1/6,0)+1)</f>
        <v>84</v>
      </c>
      <c r="AO9" s="119">
        <v>30</v>
      </c>
      <c r="AP9" s="179"/>
      <c r="AQ9" s="51">
        <f t="shared" ref="AQ9:AQ31" si="1">SUM(AN9:AP9)</f>
        <v>114</v>
      </c>
    </row>
    <row r="10" spans="1:43" ht="38.25" x14ac:dyDescent="0.25">
      <c r="A10" s="188" t="s">
        <v>155</v>
      </c>
      <c r="B10" s="186" t="s">
        <v>156</v>
      </c>
      <c r="C10" s="189" t="s">
        <v>158</v>
      </c>
      <c r="D10" s="269" t="s">
        <v>115</v>
      </c>
      <c r="E10" s="176" t="s">
        <v>60</v>
      </c>
      <c r="F10" s="57" t="s">
        <v>41</v>
      </c>
      <c r="G10" s="77">
        <v>120</v>
      </c>
      <c r="H10" s="48">
        <v>120</v>
      </c>
      <c r="I10" s="50">
        <v>6.5</v>
      </c>
      <c r="J10" s="50">
        <v>11</v>
      </c>
      <c r="K10" s="50" t="s">
        <v>77</v>
      </c>
      <c r="L10" s="50">
        <v>26.97</v>
      </c>
      <c r="M10" s="7" t="s">
        <v>39</v>
      </c>
      <c r="N10" s="8" t="s">
        <v>54</v>
      </c>
      <c r="O10" s="8" t="s">
        <v>55</v>
      </c>
      <c r="P10" s="7" t="s">
        <v>10</v>
      </c>
      <c r="Q10" s="8" t="s">
        <v>10</v>
      </c>
      <c r="R10" s="8" t="s">
        <v>52</v>
      </c>
      <c r="S10" s="8" t="s">
        <v>11</v>
      </c>
      <c r="T10" s="34" t="s">
        <v>10</v>
      </c>
      <c r="U10" s="38" t="s">
        <v>20</v>
      </c>
      <c r="V10" s="68" t="s">
        <v>31</v>
      </c>
      <c r="W10" s="111">
        <f t="shared" ref="W10:W31" si="2">AN10+AO10</f>
        <v>114</v>
      </c>
      <c r="X10" s="113">
        <f t="shared" ref="X10:X31" si="3">W10/K10</f>
        <v>19</v>
      </c>
      <c r="Y10" s="245">
        <f t="shared" ref="Y10:Y31" si="4">W10*L10</f>
        <v>3074.58</v>
      </c>
      <c r="Z10" s="130"/>
      <c r="AA10" s="131"/>
      <c r="AB10" s="132"/>
      <c r="AC10" s="142">
        <f t="shared" si="0"/>
        <v>114</v>
      </c>
      <c r="AD10" s="143">
        <f t="shared" ref="AD10:AD31" si="5">AC10/K10</f>
        <v>19</v>
      </c>
      <c r="AE10" s="249">
        <f t="shared" ref="AE10:AE31" si="6">AC10*L10</f>
        <v>3074.58</v>
      </c>
      <c r="AF10" s="153"/>
      <c r="AG10" s="154"/>
      <c r="AH10" s="155"/>
      <c r="AI10" s="275" t="s">
        <v>200</v>
      </c>
      <c r="AJ10" s="61"/>
      <c r="AK10" s="62"/>
      <c r="AL10" s="62"/>
      <c r="AM10" s="63">
        <v>54</v>
      </c>
      <c r="AN10" s="121">
        <f>6*(ROUND(AM10*1.1/6,0)+1)</f>
        <v>66</v>
      </c>
      <c r="AO10" s="120">
        <v>48</v>
      </c>
      <c r="AP10" s="180"/>
      <c r="AQ10" s="51">
        <f t="shared" si="1"/>
        <v>114</v>
      </c>
    </row>
    <row r="11" spans="1:43" ht="38.25" x14ac:dyDescent="0.25">
      <c r="A11" s="188" t="s">
        <v>155</v>
      </c>
      <c r="B11" s="186" t="s">
        <v>156</v>
      </c>
      <c r="C11" s="189" t="s">
        <v>159</v>
      </c>
      <c r="D11" s="270" t="s">
        <v>118</v>
      </c>
      <c r="E11" s="176" t="s">
        <v>60</v>
      </c>
      <c r="F11" s="57" t="s">
        <v>83</v>
      </c>
      <c r="G11" s="77">
        <v>200</v>
      </c>
      <c r="H11" s="48">
        <v>200</v>
      </c>
      <c r="I11" s="50" t="s">
        <v>84</v>
      </c>
      <c r="J11" s="54" t="s">
        <v>85</v>
      </c>
      <c r="K11" s="54" t="s">
        <v>77</v>
      </c>
      <c r="L11" s="54" t="s">
        <v>100</v>
      </c>
      <c r="M11" s="7" t="s">
        <v>39</v>
      </c>
      <c r="N11" s="8" t="s">
        <v>54</v>
      </c>
      <c r="O11" s="8" t="s">
        <v>55</v>
      </c>
      <c r="P11" s="7" t="s">
        <v>10</v>
      </c>
      <c r="Q11" s="8" t="s">
        <v>10</v>
      </c>
      <c r="R11" s="8" t="s">
        <v>52</v>
      </c>
      <c r="S11" s="8" t="s">
        <v>11</v>
      </c>
      <c r="T11" s="34" t="s">
        <v>10</v>
      </c>
      <c r="U11" s="38" t="s">
        <v>20</v>
      </c>
      <c r="V11" s="68" t="s">
        <v>31</v>
      </c>
      <c r="W11" s="111">
        <f t="shared" si="2"/>
        <v>0</v>
      </c>
      <c r="X11" s="113">
        <f t="shared" si="3"/>
        <v>0</v>
      </c>
      <c r="Y11" s="245">
        <f t="shared" si="4"/>
        <v>0</v>
      </c>
      <c r="Z11" s="130"/>
      <c r="AA11" s="131"/>
      <c r="AB11" s="132"/>
      <c r="AC11" s="142">
        <f t="shared" si="0"/>
        <v>30</v>
      </c>
      <c r="AD11" s="143">
        <f t="shared" si="5"/>
        <v>5</v>
      </c>
      <c r="AE11" s="249">
        <f t="shared" si="6"/>
        <v>510</v>
      </c>
      <c r="AF11" s="153"/>
      <c r="AG11" s="154"/>
      <c r="AH11" s="155"/>
      <c r="AI11" s="275" t="s">
        <v>200</v>
      </c>
      <c r="AJ11" s="61"/>
      <c r="AK11" s="62"/>
      <c r="AL11" s="62">
        <v>24</v>
      </c>
      <c r="AM11" s="63"/>
      <c r="AN11" s="116"/>
      <c r="AO11" s="117"/>
      <c r="AP11" s="184">
        <f>6*(ROUND((AJ11+AK11+AL11)*1.1/6,0)+1)</f>
        <v>30</v>
      </c>
      <c r="AQ11" s="51">
        <f t="shared" si="1"/>
        <v>30</v>
      </c>
    </row>
    <row r="12" spans="1:43" ht="38.25" x14ac:dyDescent="0.25">
      <c r="A12" s="188" t="s">
        <v>161</v>
      </c>
      <c r="B12" s="186" t="s">
        <v>162</v>
      </c>
      <c r="C12" s="189" t="s">
        <v>163</v>
      </c>
      <c r="D12" s="269" t="s">
        <v>121</v>
      </c>
      <c r="E12" s="176" t="s">
        <v>60</v>
      </c>
      <c r="F12" s="57" t="s">
        <v>87</v>
      </c>
      <c r="G12" s="81">
        <v>100</v>
      </c>
      <c r="H12" s="82">
        <v>55</v>
      </c>
      <c r="I12" s="50" t="s">
        <v>88</v>
      </c>
      <c r="J12" s="54" t="s">
        <v>89</v>
      </c>
      <c r="K12" s="54" t="s">
        <v>77</v>
      </c>
      <c r="L12" s="54" t="s">
        <v>101</v>
      </c>
      <c r="M12" s="7" t="s">
        <v>39</v>
      </c>
      <c r="N12" s="8" t="s">
        <v>54</v>
      </c>
      <c r="O12" s="8" t="s">
        <v>55</v>
      </c>
      <c r="P12" s="3" t="s">
        <v>10</v>
      </c>
      <c r="Q12" s="8" t="s">
        <v>10</v>
      </c>
      <c r="R12" s="8" t="s">
        <v>52</v>
      </c>
      <c r="S12" s="8" t="s">
        <v>11</v>
      </c>
      <c r="T12" s="34" t="s">
        <v>10</v>
      </c>
      <c r="U12" s="38" t="s">
        <v>20</v>
      </c>
      <c r="V12" s="68" t="s">
        <v>31</v>
      </c>
      <c r="W12" s="111">
        <f t="shared" si="2"/>
        <v>0</v>
      </c>
      <c r="X12" s="113">
        <f t="shared" si="3"/>
        <v>0</v>
      </c>
      <c r="Y12" s="245">
        <f>W12*L12</f>
        <v>0</v>
      </c>
      <c r="Z12" s="130"/>
      <c r="AA12" s="131"/>
      <c r="AB12" s="132"/>
      <c r="AC12" s="144">
        <f t="shared" si="0"/>
        <v>60</v>
      </c>
      <c r="AD12" s="143">
        <f t="shared" si="5"/>
        <v>10</v>
      </c>
      <c r="AE12" s="249">
        <f t="shared" si="6"/>
        <v>486</v>
      </c>
      <c r="AF12" s="153"/>
      <c r="AG12" s="154"/>
      <c r="AH12" s="155"/>
      <c r="AI12" s="275" t="s">
        <v>200</v>
      </c>
      <c r="AJ12" s="61"/>
      <c r="AK12" s="61"/>
      <c r="AL12" s="61">
        <v>48</v>
      </c>
      <c r="AM12" s="65"/>
      <c r="AN12" s="116"/>
      <c r="AO12" s="117"/>
      <c r="AP12" s="180">
        <f t="shared" ref="AP12:AP17" si="7">6*(ROUND((AJ12+AK12+AL12)*1.1/6,0)+1)</f>
        <v>60</v>
      </c>
      <c r="AQ12" s="51">
        <f t="shared" si="1"/>
        <v>60</v>
      </c>
    </row>
    <row r="13" spans="1:43" ht="38.25" x14ac:dyDescent="0.25">
      <c r="A13" s="188" t="s">
        <v>161</v>
      </c>
      <c r="B13" s="186" t="s">
        <v>162</v>
      </c>
      <c r="C13" s="189" t="s">
        <v>164</v>
      </c>
      <c r="D13" s="270" t="s">
        <v>117</v>
      </c>
      <c r="E13" s="176" t="s">
        <v>60</v>
      </c>
      <c r="F13" s="57" t="s">
        <v>42</v>
      </c>
      <c r="G13" s="81">
        <v>120</v>
      </c>
      <c r="H13" s="82">
        <v>64</v>
      </c>
      <c r="I13" s="50">
        <v>4.4000000000000004</v>
      </c>
      <c r="J13" s="54">
        <v>6.3</v>
      </c>
      <c r="K13" s="54" t="s">
        <v>77</v>
      </c>
      <c r="L13" s="54">
        <v>10.48</v>
      </c>
      <c r="M13" s="7" t="s">
        <v>39</v>
      </c>
      <c r="N13" s="8" t="s">
        <v>54</v>
      </c>
      <c r="O13" s="8" t="s">
        <v>55</v>
      </c>
      <c r="P13" s="7" t="s">
        <v>10</v>
      </c>
      <c r="Q13" s="8" t="s">
        <v>10</v>
      </c>
      <c r="R13" s="8" t="s">
        <v>52</v>
      </c>
      <c r="S13" s="8" t="s">
        <v>11</v>
      </c>
      <c r="T13" s="34" t="s">
        <v>10</v>
      </c>
      <c r="U13" s="38" t="s">
        <v>20</v>
      </c>
      <c r="V13" s="68" t="s">
        <v>31</v>
      </c>
      <c r="W13" s="111">
        <f t="shared" si="2"/>
        <v>0</v>
      </c>
      <c r="X13" s="113">
        <f t="shared" si="3"/>
        <v>0</v>
      </c>
      <c r="Y13" s="245">
        <f t="shared" si="4"/>
        <v>0</v>
      </c>
      <c r="Z13" s="130"/>
      <c r="AA13" s="131"/>
      <c r="AB13" s="132"/>
      <c r="AC13" s="144">
        <f t="shared" si="0"/>
        <v>228</v>
      </c>
      <c r="AD13" s="143">
        <f t="shared" si="5"/>
        <v>38</v>
      </c>
      <c r="AE13" s="249">
        <f t="shared" si="6"/>
        <v>2389.44</v>
      </c>
      <c r="AF13" s="153"/>
      <c r="AG13" s="154"/>
      <c r="AH13" s="155"/>
      <c r="AI13" s="275" t="s">
        <v>200</v>
      </c>
      <c r="AJ13" s="61">
        <v>156</v>
      </c>
      <c r="AK13" s="61">
        <f>24*2</f>
        <v>48</v>
      </c>
      <c r="AL13" s="61"/>
      <c r="AM13" s="65"/>
      <c r="AN13" s="116"/>
      <c r="AO13" s="117"/>
      <c r="AP13" s="184">
        <f t="shared" si="7"/>
        <v>228</v>
      </c>
      <c r="AQ13" s="51">
        <f t="shared" si="1"/>
        <v>228</v>
      </c>
    </row>
    <row r="14" spans="1:43" s="5" customFormat="1" ht="38.25" x14ac:dyDescent="0.25">
      <c r="A14" s="190" t="s">
        <v>161</v>
      </c>
      <c r="B14" s="187" t="s">
        <v>162</v>
      </c>
      <c r="C14" s="191" t="s">
        <v>165</v>
      </c>
      <c r="D14" s="269" t="s">
        <v>119</v>
      </c>
      <c r="E14" s="176" t="s">
        <v>60</v>
      </c>
      <c r="F14" s="57" t="s">
        <v>95</v>
      </c>
      <c r="G14" s="81">
        <v>200</v>
      </c>
      <c r="H14" s="82">
        <v>100</v>
      </c>
      <c r="I14" s="50" t="s">
        <v>86</v>
      </c>
      <c r="J14" s="54" t="s">
        <v>78</v>
      </c>
      <c r="K14" s="54" t="s">
        <v>77</v>
      </c>
      <c r="L14" s="54" t="s">
        <v>102</v>
      </c>
      <c r="M14" s="94" t="s">
        <v>39</v>
      </c>
      <c r="N14" s="95" t="s">
        <v>54</v>
      </c>
      <c r="O14" s="95" t="s">
        <v>55</v>
      </c>
      <c r="P14" s="96" t="s">
        <v>10</v>
      </c>
      <c r="Q14" s="95" t="s">
        <v>10</v>
      </c>
      <c r="R14" s="95" t="s">
        <v>52</v>
      </c>
      <c r="S14" s="95" t="s">
        <v>11</v>
      </c>
      <c r="T14" s="97" t="s">
        <v>10</v>
      </c>
      <c r="U14" s="98" t="s">
        <v>20</v>
      </c>
      <c r="V14" s="99" t="s">
        <v>31</v>
      </c>
      <c r="W14" s="111">
        <f t="shared" si="2"/>
        <v>30</v>
      </c>
      <c r="X14" s="114">
        <f t="shared" si="3"/>
        <v>5</v>
      </c>
      <c r="Y14" s="246">
        <f t="shared" si="4"/>
        <v>672</v>
      </c>
      <c r="Z14" s="133"/>
      <c r="AA14" s="134"/>
      <c r="AB14" s="135"/>
      <c r="AC14" s="145">
        <f t="shared" si="0"/>
        <v>54</v>
      </c>
      <c r="AD14" s="146">
        <f t="shared" si="5"/>
        <v>9</v>
      </c>
      <c r="AE14" s="250">
        <f t="shared" si="6"/>
        <v>1209.5999999999999</v>
      </c>
      <c r="AF14" s="156"/>
      <c r="AG14" s="157"/>
      <c r="AH14" s="158"/>
      <c r="AI14" s="275" t="s">
        <v>200</v>
      </c>
      <c r="AJ14" s="100"/>
      <c r="AK14" s="100"/>
      <c r="AL14" s="100">
        <v>18</v>
      </c>
      <c r="AM14" s="101">
        <v>5</v>
      </c>
      <c r="AN14" s="177">
        <f>6*(ROUND(AM14*1.1/6,0)+1)</f>
        <v>12</v>
      </c>
      <c r="AO14" s="118">
        <v>18</v>
      </c>
      <c r="AP14" s="184">
        <f t="shared" si="7"/>
        <v>24</v>
      </c>
      <c r="AQ14" s="51">
        <f t="shared" si="1"/>
        <v>54</v>
      </c>
    </row>
    <row r="15" spans="1:43" ht="38.25" x14ac:dyDescent="0.25">
      <c r="A15" s="188" t="s">
        <v>161</v>
      </c>
      <c r="B15" s="186" t="s">
        <v>162</v>
      </c>
      <c r="C15" s="189" t="s">
        <v>166</v>
      </c>
      <c r="D15" s="270" t="s">
        <v>122</v>
      </c>
      <c r="E15" s="176" t="s">
        <v>60</v>
      </c>
      <c r="F15" s="57" t="s">
        <v>43</v>
      </c>
      <c r="G15" s="81">
        <v>240</v>
      </c>
      <c r="H15" s="82">
        <v>120</v>
      </c>
      <c r="I15" s="50">
        <v>6.2</v>
      </c>
      <c r="J15" s="54">
        <v>9.8000000000000007</v>
      </c>
      <c r="K15" s="54" t="s">
        <v>77</v>
      </c>
      <c r="L15" s="47">
        <v>31.02</v>
      </c>
      <c r="M15" s="7" t="s">
        <v>39</v>
      </c>
      <c r="N15" s="8" t="s">
        <v>54</v>
      </c>
      <c r="O15" s="8" t="s">
        <v>55</v>
      </c>
      <c r="P15" s="3" t="s">
        <v>10</v>
      </c>
      <c r="Q15" s="8" t="s">
        <v>10</v>
      </c>
      <c r="R15" s="8" t="s">
        <v>52</v>
      </c>
      <c r="S15" s="8" t="s">
        <v>11</v>
      </c>
      <c r="T15" s="34" t="s">
        <v>10</v>
      </c>
      <c r="U15" s="38" t="s">
        <v>20</v>
      </c>
      <c r="V15" s="68" t="s">
        <v>31</v>
      </c>
      <c r="W15" s="111">
        <f t="shared" si="2"/>
        <v>42</v>
      </c>
      <c r="X15" s="113">
        <f t="shared" si="3"/>
        <v>7</v>
      </c>
      <c r="Y15" s="245">
        <f t="shared" si="4"/>
        <v>1302.8399999999999</v>
      </c>
      <c r="Z15" s="130"/>
      <c r="AA15" s="131"/>
      <c r="AB15" s="132"/>
      <c r="AC15" s="144">
        <f t="shared" si="0"/>
        <v>282</v>
      </c>
      <c r="AD15" s="143">
        <f t="shared" si="5"/>
        <v>47</v>
      </c>
      <c r="AE15" s="249">
        <f t="shared" si="6"/>
        <v>8747.64</v>
      </c>
      <c r="AF15" s="153"/>
      <c r="AG15" s="154"/>
      <c r="AH15" s="155"/>
      <c r="AI15" s="275" t="s">
        <v>200</v>
      </c>
      <c r="AJ15" s="61">
        <v>48</v>
      </c>
      <c r="AK15" s="61">
        <f>2*48</f>
        <v>96</v>
      </c>
      <c r="AL15" s="61">
        <v>66</v>
      </c>
      <c r="AM15" s="65">
        <v>19</v>
      </c>
      <c r="AN15" s="116">
        <f>6*(ROUND(AM15*1.1/6,0)+1)</f>
        <v>24</v>
      </c>
      <c r="AO15" s="117">
        <v>18</v>
      </c>
      <c r="AP15" s="184">
        <f t="shared" si="7"/>
        <v>240</v>
      </c>
      <c r="AQ15" s="51">
        <f t="shared" si="1"/>
        <v>282</v>
      </c>
    </row>
    <row r="16" spans="1:43" ht="38.25" x14ac:dyDescent="0.25">
      <c r="A16" s="188" t="s">
        <v>167</v>
      </c>
      <c r="B16" s="186" t="s">
        <v>168</v>
      </c>
      <c r="C16" s="189" t="s">
        <v>169</v>
      </c>
      <c r="D16" s="269" t="s">
        <v>116</v>
      </c>
      <c r="E16" s="176" t="s">
        <v>60</v>
      </c>
      <c r="F16" s="57" t="s">
        <v>81</v>
      </c>
      <c r="G16" s="81">
        <v>80</v>
      </c>
      <c r="H16" s="82">
        <v>50</v>
      </c>
      <c r="I16" s="50" t="s">
        <v>82</v>
      </c>
      <c r="J16" s="54" t="s">
        <v>69</v>
      </c>
      <c r="K16" s="54" t="s">
        <v>77</v>
      </c>
      <c r="L16" s="47" t="s">
        <v>100</v>
      </c>
      <c r="M16" s="7" t="s">
        <v>39</v>
      </c>
      <c r="N16" s="8" t="s">
        <v>54</v>
      </c>
      <c r="O16" s="8" t="s">
        <v>58</v>
      </c>
      <c r="P16" s="3" t="s">
        <v>10</v>
      </c>
      <c r="Q16" s="8" t="s">
        <v>10</v>
      </c>
      <c r="R16" s="8" t="s">
        <v>52</v>
      </c>
      <c r="S16" s="8" t="s">
        <v>11</v>
      </c>
      <c r="T16" s="34" t="s">
        <v>10</v>
      </c>
      <c r="U16" s="38" t="s">
        <v>20</v>
      </c>
      <c r="V16" s="68" t="s">
        <v>31</v>
      </c>
      <c r="W16" s="111">
        <f t="shared" si="2"/>
        <v>0</v>
      </c>
      <c r="X16" s="113">
        <f t="shared" si="3"/>
        <v>0</v>
      </c>
      <c r="Y16" s="245">
        <f t="shared" si="4"/>
        <v>0</v>
      </c>
      <c r="Z16" s="130"/>
      <c r="AA16" s="131"/>
      <c r="AB16" s="132"/>
      <c r="AC16" s="144">
        <f t="shared" si="0"/>
        <v>78</v>
      </c>
      <c r="AD16" s="143">
        <f t="shared" si="5"/>
        <v>13</v>
      </c>
      <c r="AE16" s="249">
        <f t="shared" si="6"/>
        <v>1326</v>
      </c>
      <c r="AF16" s="153"/>
      <c r="AG16" s="154"/>
      <c r="AH16" s="155"/>
      <c r="AI16" s="275" t="s">
        <v>200</v>
      </c>
      <c r="AJ16" s="61"/>
      <c r="AK16" s="61"/>
      <c r="AL16" s="61">
        <v>66</v>
      </c>
      <c r="AM16" s="65"/>
      <c r="AN16" s="116"/>
      <c r="AO16" s="117"/>
      <c r="AP16" s="184">
        <f t="shared" si="7"/>
        <v>78</v>
      </c>
      <c r="AQ16" s="51">
        <f t="shared" si="1"/>
        <v>78</v>
      </c>
    </row>
    <row r="17" spans="1:43" s="5" customFormat="1" ht="38.25" x14ac:dyDescent="0.25">
      <c r="A17" s="190" t="s">
        <v>167</v>
      </c>
      <c r="B17" s="187" t="s">
        <v>168</v>
      </c>
      <c r="C17" s="191" t="s">
        <v>170</v>
      </c>
      <c r="D17" s="270" t="s">
        <v>120</v>
      </c>
      <c r="E17" s="176" t="s">
        <v>60</v>
      </c>
      <c r="F17" s="57" t="s">
        <v>97</v>
      </c>
      <c r="G17" s="81">
        <v>100</v>
      </c>
      <c r="H17" s="82">
        <v>55</v>
      </c>
      <c r="I17" s="50" t="s">
        <v>79</v>
      </c>
      <c r="J17" s="54" t="s">
        <v>80</v>
      </c>
      <c r="K17" s="54" t="s">
        <v>77</v>
      </c>
      <c r="L17" s="54" t="s">
        <v>100</v>
      </c>
      <c r="M17" s="94" t="s">
        <v>39</v>
      </c>
      <c r="N17" s="95" t="s">
        <v>54</v>
      </c>
      <c r="O17" s="95" t="s">
        <v>58</v>
      </c>
      <c r="P17" s="96" t="s">
        <v>10</v>
      </c>
      <c r="Q17" s="95" t="s">
        <v>10</v>
      </c>
      <c r="R17" s="95" t="s">
        <v>52</v>
      </c>
      <c r="S17" s="95" t="s">
        <v>11</v>
      </c>
      <c r="T17" s="97" t="s">
        <v>10</v>
      </c>
      <c r="U17" s="98" t="s">
        <v>20</v>
      </c>
      <c r="V17" s="99" t="s">
        <v>31</v>
      </c>
      <c r="W17" s="111">
        <f t="shared" si="2"/>
        <v>36</v>
      </c>
      <c r="X17" s="114">
        <f t="shared" si="3"/>
        <v>6</v>
      </c>
      <c r="Y17" s="246">
        <f t="shared" si="4"/>
        <v>612</v>
      </c>
      <c r="Z17" s="133"/>
      <c r="AA17" s="134"/>
      <c r="AB17" s="135"/>
      <c r="AC17" s="145">
        <f t="shared" si="0"/>
        <v>60</v>
      </c>
      <c r="AD17" s="146">
        <f t="shared" si="5"/>
        <v>10</v>
      </c>
      <c r="AE17" s="250">
        <f t="shared" si="6"/>
        <v>1020</v>
      </c>
      <c r="AF17" s="156"/>
      <c r="AG17" s="157"/>
      <c r="AH17" s="158"/>
      <c r="AI17" s="275" t="s">
        <v>200</v>
      </c>
      <c r="AJ17" s="100"/>
      <c r="AK17" s="100"/>
      <c r="AL17" s="100">
        <v>18</v>
      </c>
      <c r="AM17" s="101">
        <f>2+7</f>
        <v>9</v>
      </c>
      <c r="AN17" s="177">
        <f>6*(ROUND(AM17*1.1/6,0)+1)</f>
        <v>18</v>
      </c>
      <c r="AO17" s="118">
        <v>18</v>
      </c>
      <c r="AP17" s="184">
        <f t="shared" si="7"/>
        <v>24</v>
      </c>
      <c r="AQ17" s="51">
        <f t="shared" si="1"/>
        <v>60</v>
      </c>
    </row>
    <row r="18" spans="1:43" ht="38.25" x14ac:dyDescent="0.25">
      <c r="A18" s="188" t="s">
        <v>167</v>
      </c>
      <c r="B18" s="186" t="s">
        <v>168</v>
      </c>
      <c r="C18" s="189" t="s">
        <v>171</v>
      </c>
      <c r="D18" s="269" t="s">
        <v>123</v>
      </c>
      <c r="E18" s="176" t="s">
        <v>60</v>
      </c>
      <c r="F18" s="57" t="s">
        <v>96</v>
      </c>
      <c r="G18" s="81">
        <v>120</v>
      </c>
      <c r="H18" s="82">
        <v>60</v>
      </c>
      <c r="I18" s="50">
        <v>5</v>
      </c>
      <c r="J18" s="54">
        <v>8</v>
      </c>
      <c r="K18" s="54" t="s">
        <v>77</v>
      </c>
      <c r="L18" s="47">
        <v>12.23</v>
      </c>
      <c r="M18" s="7" t="s">
        <v>39</v>
      </c>
      <c r="N18" s="8" t="s">
        <v>54</v>
      </c>
      <c r="O18" s="8" t="s">
        <v>58</v>
      </c>
      <c r="P18" s="3" t="s">
        <v>10</v>
      </c>
      <c r="Q18" s="8" t="s">
        <v>10</v>
      </c>
      <c r="R18" s="8" t="s">
        <v>52</v>
      </c>
      <c r="S18" s="8" t="s">
        <v>11</v>
      </c>
      <c r="T18" s="34" t="s">
        <v>10</v>
      </c>
      <c r="U18" s="38" t="s">
        <v>20</v>
      </c>
      <c r="V18" s="68" t="s">
        <v>31</v>
      </c>
      <c r="W18" s="111">
        <f t="shared" si="2"/>
        <v>48</v>
      </c>
      <c r="X18" s="113">
        <f t="shared" si="3"/>
        <v>8</v>
      </c>
      <c r="Y18" s="245">
        <f t="shared" si="4"/>
        <v>587.04</v>
      </c>
      <c r="Z18" s="130"/>
      <c r="AA18" s="131"/>
      <c r="AB18" s="132"/>
      <c r="AC18" s="144">
        <f t="shared" si="0"/>
        <v>48</v>
      </c>
      <c r="AD18" s="143">
        <f t="shared" si="5"/>
        <v>8</v>
      </c>
      <c r="AE18" s="249">
        <f t="shared" si="6"/>
        <v>587.04</v>
      </c>
      <c r="AF18" s="153"/>
      <c r="AG18" s="154"/>
      <c r="AH18" s="155"/>
      <c r="AI18" s="275" t="s">
        <v>200</v>
      </c>
      <c r="AJ18" s="61"/>
      <c r="AK18" s="61"/>
      <c r="AL18" s="61"/>
      <c r="AM18" s="65">
        <v>20</v>
      </c>
      <c r="AN18" s="116">
        <f>6*(ROUND(AM18*1.1/6,0)+1)</f>
        <v>30</v>
      </c>
      <c r="AO18" s="117">
        <v>18</v>
      </c>
      <c r="AP18" s="180"/>
      <c r="AQ18" s="51">
        <f t="shared" si="1"/>
        <v>48</v>
      </c>
    </row>
    <row r="19" spans="1:43" s="5" customFormat="1" ht="38.25" x14ac:dyDescent="0.25">
      <c r="A19" s="190" t="s">
        <v>167</v>
      </c>
      <c r="B19" s="187" t="s">
        <v>168</v>
      </c>
      <c r="C19" s="191" t="s">
        <v>172</v>
      </c>
      <c r="D19" s="270" t="s">
        <v>124</v>
      </c>
      <c r="E19" s="176" t="s">
        <v>60</v>
      </c>
      <c r="F19" s="57" t="s">
        <v>106</v>
      </c>
      <c r="G19" s="81">
        <v>140</v>
      </c>
      <c r="H19" s="82">
        <v>65</v>
      </c>
      <c r="I19" s="50" t="s">
        <v>92</v>
      </c>
      <c r="J19" s="54" t="s">
        <v>84</v>
      </c>
      <c r="K19" s="54" t="s">
        <v>77</v>
      </c>
      <c r="L19" s="54" t="s">
        <v>85</v>
      </c>
      <c r="M19" s="94" t="s">
        <v>39</v>
      </c>
      <c r="N19" s="95" t="s">
        <v>54</v>
      </c>
      <c r="O19" s="95" t="s">
        <v>58</v>
      </c>
      <c r="P19" s="96" t="s">
        <v>10</v>
      </c>
      <c r="Q19" s="95" t="s">
        <v>10</v>
      </c>
      <c r="R19" s="95" t="s">
        <v>52</v>
      </c>
      <c r="S19" s="95" t="s">
        <v>11</v>
      </c>
      <c r="T19" s="97" t="s">
        <v>10</v>
      </c>
      <c r="U19" s="98" t="s">
        <v>20</v>
      </c>
      <c r="V19" s="99" t="s">
        <v>31</v>
      </c>
      <c r="W19" s="111">
        <f t="shared" si="2"/>
        <v>30</v>
      </c>
      <c r="X19" s="114">
        <f t="shared" si="3"/>
        <v>5</v>
      </c>
      <c r="Y19" s="246">
        <f t="shared" si="4"/>
        <v>450</v>
      </c>
      <c r="Z19" s="133"/>
      <c r="AA19" s="134"/>
      <c r="AB19" s="135"/>
      <c r="AC19" s="145">
        <f t="shared" si="0"/>
        <v>30</v>
      </c>
      <c r="AD19" s="146">
        <f t="shared" si="5"/>
        <v>5</v>
      </c>
      <c r="AE19" s="250">
        <f t="shared" si="6"/>
        <v>450</v>
      </c>
      <c r="AF19" s="156"/>
      <c r="AG19" s="157"/>
      <c r="AH19" s="158"/>
      <c r="AI19" s="276" t="s">
        <v>200</v>
      </c>
      <c r="AJ19" s="100"/>
      <c r="AK19" s="100"/>
      <c r="AL19" s="100"/>
      <c r="AM19" s="101">
        <v>6</v>
      </c>
      <c r="AN19" s="177">
        <f>6*(ROUND(AM19*1.1/6,0)+1)</f>
        <v>12</v>
      </c>
      <c r="AO19" s="118">
        <v>18</v>
      </c>
      <c r="AP19" s="181"/>
      <c r="AQ19" s="223">
        <f t="shared" si="1"/>
        <v>30</v>
      </c>
    </row>
    <row r="20" spans="1:43" ht="38.25" x14ac:dyDescent="0.25">
      <c r="A20" s="188" t="s">
        <v>167</v>
      </c>
      <c r="B20" s="186" t="s">
        <v>168</v>
      </c>
      <c r="C20" s="189" t="s">
        <v>173</v>
      </c>
      <c r="D20" s="269" t="s">
        <v>125</v>
      </c>
      <c r="E20" s="176" t="s">
        <v>60</v>
      </c>
      <c r="F20" s="57" t="s">
        <v>44</v>
      </c>
      <c r="G20" s="81">
        <v>160</v>
      </c>
      <c r="H20" s="82">
        <v>70</v>
      </c>
      <c r="I20" s="50">
        <v>5.5</v>
      </c>
      <c r="J20" s="54">
        <v>9.5</v>
      </c>
      <c r="K20" s="54" t="s">
        <v>77</v>
      </c>
      <c r="L20" s="47">
        <v>17.190000000000001</v>
      </c>
      <c r="M20" s="7" t="s">
        <v>39</v>
      </c>
      <c r="N20" s="8" t="s">
        <v>54</v>
      </c>
      <c r="O20" s="8" t="s">
        <v>58</v>
      </c>
      <c r="P20" s="3" t="s">
        <v>10</v>
      </c>
      <c r="Q20" s="8" t="s">
        <v>10</v>
      </c>
      <c r="R20" s="8" t="s">
        <v>52</v>
      </c>
      <c r="S20" s="8" t="s">
        <v>11</v>
      </c>
      <c r="T20" s="34" t="s">
        <v>10</v>
      </c>
      <c r="U20" s="38" t="s">
        <v>20</v>
      </c>
      <c r="V20" s="68" t="s">
        <v>31</v>
      </c>
      <c r="W20" s="111">
        <f t="shared" si="2"/>
        <v>48</v>
      </c>
      <c r="X20" s="113">
        <f t="shared" si="3"/>
        <v>8</v>
      </c>
      <c r="Y20" s="245">
        <f t="shared" si="4"/>
        <v>825.12000000000012</v>
      </c>
      <c r="Z20" s="130"/>
      <c r="AA20" s="131"/>
      <c r="AB20" s="132"/>
      <c r="AC20" s="144">
        <f t="shared" si="0"/>
        <v>210</v>
      </c>
      <c r="AD20" s="143">
        <f t="shared" si="5"/>
        <v>35</v>
      </c>
      <c r="AE20" s="249">
        <f t="shared" si="6"/>
        <v>3609.9</v>
      </c>
      <c r="AF20" s="153"/>
      <c r="AG20" s="154"/>
      <c r="AH20" s="155"/>
      <c r="AI20" s="275" t="s">
        <v>200</v>
      </c>
      <c r="AJ20" s="61">
        <v>66</v>
      </c>
      <c r="AK20" s="61">
        <f>2*30</f>
        <v>60</v>
      </c>
      <c r="AL20" s="61">
        <v>18</v>
      </c>
      <c r="AM20" s="65">
        <f>12+4</f>
        <v>16</v>
      </c>
      <c r="AN20" s="116">
        <f>6*(ROUND(AM20*1.1/6,0)+1)</f>
        <v>24</v>
      </c>
      <c r="AO20" s="117">
        <v>24</v>
      </c>
      <c r="AP20" s="184">
        <f>6*(ROUND((AJ20+AK20+AL20)*1.1/6,0)+1)</f>
        <v>162</v>
      </c>
      <c r="AQ20" s="51">
        <f t="shared" si="1"/>
        <v>210</v>
      </c>
    </row>
    <row r="21" spans="1:43" ht="38.25" x14ac:dyDescent="0.25">
      <c r="A21" s="188" t="s">
        <v>167</v>
      </c>
      <c r="B21" s="186" t="s">
        <v>168</v>
      </c>
      <c r="C21" s="189" t="s">
        <v>174</v>
      </c>
      <c r="D21" s="270" t="s">
        <v>126</v>
      </c>
      <c r="E21" s="176" t="s">
        <v>60</v>
      </c>
      <c r="F21" s="57" t="s">
        <v>45</v>
      </c>
      <c r="G21" s="81">
        <v>220</v>
      </c>
      <c r="H21" s="82">
        <v>85</v>
      </c>
      <c r="I21" s="50">
        <v>6.5</v>
      </c>
      <c r="J21" s="54">
        <v>12</v>
      </c>
      <c r="K21" s="54" t="s">
        <v>77</v>
      </c>
      <c r="L21" s="47">
        <v>26.86</v>
      </c>
      <c r="M21" s="7" t="s">
        <v>39</v>
      </c>
      <c r="N21" s="8" t="s">
        <v>54</v>
      </c>
      <c r="O21" s="8" t="s">
        <v>58</v>
      </c>
      <c r="P21" s="3" t="s">
        <v>10</v>
      </c>
      <c r="Q21" s="8" t="s">
        <v>10</v>
      </c>
      <c r="R21" s="8" t="s">
        <v>52</v>
      </c>
      <c r="S21" s="8" t="s">
        <v>11</v>
      </c>
      <c r="T21" s="34" t="s">
        <v>10</v>
      </c>
      <c r="U21" s="38" t="s">
        <v>20</v>
      </c>
      <c r="V21" s="68" t="s">
        <v>31</v>
      </c>
      <c r="W21" s="111">
        <f t="shared" si="2"/>
        <v>54</v>
      </c>
      <c r="X21" s="113">
        <f t="shared" si="3"/>
        <v>9</v>
      </c>
      <c r="Y21" s="245">
        <f t="shared" si="4"/>
        <v>1450.44</v>
      </c>
      <c r="Z21" s="130"/>
      <c r="AA21" s="131"/>
      <c r="AB21" s="132"/>
      <c r="AC21" s="144">
        <f t="shared" si="0"/>
        <v>54</v>
      </c>
      <c r="AD21" s="143">
        <f t="shared" si="5"/>
        <v>9</v>
      </c>
      <c r="AE21" s="249">
        <f t="shared" si="6"/>
        <v>1450.44</v>
      </c>
      <c r="AF21" s="153"/>
      <c r="AG21" s="154"/>
      <c r="AH21" s="155"/>
      <c r="AI21" s="275" t="s">
        <v>200</v>
      </c>
      <c r="AJ21" s="61"/>
      <c r="AK21" s="61"/>
      <c r="AL21" s="61"/>
      <c r="AM21" s="65">
        <v>26</v>
      </c>
      <c r="AN21" s="116">
        <f>6*(ROUND(AM21*1.1/6,0)+1)</f>
        <v>36</v>
      </c>
      <c r="AO21" s="117">
        <v>18</v>
      </c>
      <c r="AP21" s="180"/>
      <c r="AQ21" s="51">
        <f t="shared" si="1"/>
        <v>54</v>
      </c>
    </row>
    <row r="22" spans="1:43" s="5" customFormat="1" ht="45" x14ac:dyDescent="0.25">
      <c r="A22" s="190" t="s">
        <v>167</v>
      </c>
      <c r="B22" s="187" t="s">
        <v>168</v>
      </c>
      <c r="C22" s="191" t="s">
        <v>175</v>
      </c>
      <c r="D22" s="269" t="s">
        <v>127</v>
      </c>
      <c r="E22" s="176" t="s">
        <v>60</v>
      </c>
      <c r="F22" s="57" t="s">
        <v>93</v>
      </c>
      <c r="G22" s="81">
        <v>400</v>
      </c>
      <c r="H22" s="82">
        <v>115</v>
      </c>
      <c r="I22" s="50" t="s">
        <v>94</v>
      </c>
      <c r="J22" s="54" t="s">
        <v>76</v>
      </c>
      <c r="K22" s="54" t="s">
        <v>108</v>
      </c>
      <c r="L22" s="54" t="s">
        <v>103</v>
      </c>
      <c r="M22" s="94" t="s">
        <v>39</v>
      </c>
      <c r="N22" s="95" t="s">
        <v>54</v>
      </c>
      <c r="O22" s="95" t="s">
        <v>58</v>
      </c>
      <c r="P22" s="96" t="s">
        <v>10</v>
      </c>
      <c r="Q22" s="95" t="s">
        <v>10</v>
      </c>
      <c r="R22" s="95" t="s">
        <v>52</v>
      </c>
      <c r="S22" s="95" t="s">
        <v>11</v>
      </c>
      <c r="T22" s="97" t="s">
        <v>10</v>
      </c>
      <c r="U22" s="98" t="s">
        <v>20</v>
      </c>
      <c r="V22" s="99" t="s">
        <v>181</v>
      </c>
      <c r="W22" s="111">
        <f t="shared" si="2"/>
        <v>0</v>
      </c>
      <c r="X22" s="114">
        <f>W22/6</f>
        <v>0</v>
      </c>
      <c r="Y22" s="246">
        <f t="shared" si="4"/>
        <v>0</v>
      </c>
      <c r="Z22" s="133"/>
      <c r="AA22" s="134"/>
      <c r="AB22" s="135"/>
      <c r="AC22" s="145">
        <f t="shared" si="0"/>
        <v>123</v>
      </c>
      <c r="AD22" s="146">
        <f>(AC22-3*9)/6 + 3</f>
        <v>19</v>
      </c>
      <c r="AE22" s="250">
        <f t="shared" si="6"/>
        <v>8880.6</v>
      </c>
      <c r="AF22" s="156"/>
      <c r="AG22" s="157"/>
      <c r="AH22" s="158"/>
      <c r="AI22" s="275" t="s">
        <v>200</v>
      </c>
      <c r="AJ22" s="100">
        <v>63</v>
      </c>
      <c r="AK22" s="100">
        <f>24*2</f>
        <v>48</v>
      </c>
      <c r="AL22" s="100"/>
      <c r="AM22" s="101"/>
      <c r="AN22" s="177"/>
      <c r="AO22" s="118"/>
      <c r="AP22" s="195">
        <f>6*(ROUND((AJ22+AK22+AL22-3*9)*1.1/6,0)+1) + 3*9</f>
        <v>123</v>
      </c>
      <c r="AQ22" s="51">
        <f t="shared" si="1"/>
        <v>123</v>
      </c>
    </row>
    <row r="23" spans="1:43" ht="38.25" x14ac:dyDescent="0.25">
      <c r="A23" s="188" t="s">
        <v>176</v>
      </c>
      <c r="B23" s="186" t="s">
        <v>177</v>
      </c>
      <c r="C23" s="189" t="s">
        <v>180</v>
      </c>
      <c r="D23" s="270" t="s">
        <v>128</v>
      </c>
      <c r="E23" s="176" t="s">
        <v>60</v>
      </c>
      <c r="F23" s="57" t="s">
        <v>91</v>
      </c>
      <c r="G23" s="81">
        <v>50</v>
      </c>
      <c r="H23" s="82">
        <v>38</v>
      </c>
      <c r="I23" s="50" t="s">
        <v>92</v>
      </c>
      <c r="J23" s="54" t="s">
        <v>69</v>
      </c>
      <c r="K23" s="54" t="s">
        <v>77</v>
      </c>
      <c r="L23" s="47" t="s">
        <v>104</v>
      </c>
      <c r="M23" s="7" t="s">
        <v>39</v>
      </c>
      <c r="N23" s="8" t="s">
        <v>54</v>
      </c>
      <c r="O23" s="8" t="s">
        <v>58</v>
      </c>
      <c r="P23" s="3" t="s">
        <v>10</v>
      </c>
      <c r="Q23" s="8" t="s">
        <v>10</v>
      </c>
      <c r="R23" s="8" t="s">
        <v>52</v>
      </c>
      <c r="S23" s="8" t="s">
        <v>11</v>
      </c>
      <c r="T23" s="34" t="s">
        <v>10</v>
      </c>
      <c r="U23" s="38" t="s">
        <v>20</v>
      </c>
      <c r="V23" s="68" t="s">
        <v>31</v>
      </c>
      <c r="W23" s="111">
        <f t="shared" si="2"/>
        <v>0</v>
      </c>
      <c r="X23" s="113">
        <f t="shared" si="3"/>
        <v>0</v>
      </c>
      <c r="Y23" s="245">
        <f t="shared" si="4"/>
        <v>0</v>
      </c>
      <c r="Z23" s="130"/>
      <c r="AA23" s="131"/>
      <c r="AB23" s="132"/>
      <c r="AC23" s="144">
        <f t="shared" si="0"/>
        <v>72</v>
      </c>
      <c r="AD23" s="143">
        <f t="shared" si="5"/>
        <v>12</v>
      </c>
      <c r="AE23" s="249">
        <f t="shared" si="6"/>
        <v>402.48</v>
      </c>
      <c r="AF23" s="153"/>
      <c r="AG23" s="154"/>
      <c r="AH23" s="155"/>
      <c r="AI23" s="275" t="s">
        <v>200</v>
      </c>
      <c r="AJ23" s="61">
        <v>30</v>
      </c>
      <c r="AK23" s="61">
        <f>15*2</f>
        <v>30</v>
      </c>
      <c r="AL23" s="61"/>
      <c r="AM23" s="65"/>
      <c r="AN23" s="116"/>
      <c r="AO23" s="117"/>
      <c r="AP23" s="184">
        <f>6*(ROUND((AJ23+AK23+AL23)*1.1/6,0)+1)</f>
        <v>72</v>
      </c>
      <c r="AQ23" s="51">
        <f t="shared" si="1"/>
        <v>72</v>
      </c>
    </row>
    <row r="24" spans="1:43" ht="38.25" x14ac:dyDescent="0.25">
      <c r="A24" s="188" t="s">
        <v>176</v>
      </c>
      <c r="B24" s="186" t="s">
        <v>177</v>
      </c>
      <c r="C24" s="189" t="s">
        <v>178</v>
      </c>
      <c r="D24" s="269" t="s">
        <v>129</v>
      </c>
      <c r="E24" s="176" t="s">
        <v>60</v>
      </c>
      <c r="F24" s="57" t="s">
        <v>99</v>
      </c>
      <c r="G24" s="81">
        <v>100</v>
      </c>
      <c r="H24" s="82">
        <v>50</v>
      </c>
      <c r="I24" s="50" t="s">
        <v>77</v>
      </c>
      <c r="J24" s="54" t="s">
        <v>78</v>
      </c>
      <c r="K24" s="54" t="s">
        <v>77</v>
      </c>
      <c r="L24" s="47" t="s">
        <v>105</v>
      </c>
      <c r="M24" s="7" t="s">
        <v>39</v>
      </c>
      <c r="N24" s="8" t="s">
        <v>54</v>
      </c>
      <c r="O24" s="8" t="s">
        <v>58</v>
      </c>
      <c r="P24" s="3" t="s">
        <v>10</v>
      </c>
      <c r="Q24" s="8" t="s">
        <v>10</v>
      </c>
      <c r="R24" s="8" t="s">
        <v>52</v>
      </c>
      <c r="S24" s="8" t="s">
        <v>11</v>
      </c>
      <c r="T24" s="34" t="s">
        <v>10</v>
      </c>
      <c r="U24" s="38" t="s">
        <v>20</v>
      </c>
      <c r="V24" s="68" t="s">
        <v>31</v>
      </c>
      <c r="W24" s="111">
        <f t="shared" si="2"/>
        <v>0</v>
      </c>
      <c r="X24" s="113">
        <f t="shared" si="3"/>
        <v>0</v>
      </c>
      <c r="Y24" s="245">
        <f t="shared" si="4"/>
        <v>0</v>
      </c>
      <c r="Z24" s="130"/>
      <c r="AA24" s="131"/>
      <c r="AB24" s="132"/>
      <c r="AC24" s="144">
        <f t="shared" si="0"/>
        <v>90</v>
      </c>
      <c r="AD24" s="143">
        <f t="shared" si="5"/>
        <v>15</v>
      </c>
      <c r="AE24" s="249">
        <f t="shared" si="6"/>
        <v>954</v>
      </c>
      <c r="AF24" s="153"/>
      <c r="AG24" s="154"/>
      <c r="AH24" s="155"/>
      <c r="AI24" s="275" t="s">
        <v>200</v>
      </c>
      <c r="AJ24" s="61"/>
      <c r="AK24" s="61"/>
      <c r="AL24" s="61">
        <v>78</v>
      </c>
      <c r="AM24" s="65"/>
      <c r="AN24" s="116"/>
      <c r="AO24" s="117"/>
      <c r="AP24" s="184">
        <f>6*(ROUND((AJ24+AK24+AL24)*1.1/6,0)+1)</f>
        <v>90</v>
      </c>
      <c r="AQ24" s="51">
        <f t="shared" si="1"/>
        <v>90</v>
      </c>
    </row>
    <row r="25" spans="1:43" s="5" customFormat="1" ht="45" x14ac:dyDescent="0.25">
      <c r="A25" s="190" t="s">
        <v>176</v>
      </c>
      <c r="B25" s="187" t="s">
        <v>177</v>
      </c>
      <c r="C25" s="191" t="s">
        <v>179</v>
      </c>
      <c r="D25" s="270" t="s">
        <v>130</v>
      </c>
      <c r="E25" s="176" t="s">
        <v>60</v>
      </c>
      <c r="F25" s="57" t="s">
        <v>98</v>
      </c>
      <c r="G25" s="81">
        <v>400</v>
      </c>
      <c r="H25" s="82">
        <v>110</v>
      </c>
      <c r="I25" s="50">
        <v>14</v>
      </c>
      <c r="J25" s="54" t="s">
        <v>76</v>
      </c>
      <c r="K25" s="54" t="s">
        <v>109</v>
      </c>
      <c r="L25" s="54">
        <v>70.62</v>
      </c>
      <c r="M25" s="94" t="s">
        <v>39</v>
      </c>
      <c r="N25" s="95" t="s">
        <v>54</v>
      </c>
      <c r="O25" s="95" t="s">
        <v>58</v>
      </c>
      <c r="P25" s="96" t="s">
        <v>10</v>
      </c>
      <c r="Q25" s="95" t="s">
        <v>10</v>
      </c>
      <c r="R25" s="95" t="s">
        <v>52</v>
      </c>
      <c r="S25" s="95" t="s">
        <v>11</v>
      </c>
      <c r="T25" s="97" t="s">
        <v>10</v>
      </c>
      <c r="U25" s="98" t="s">
        <v>20</v>
      </c>
      <c r="V25" s="99" t="s">
        <v>198</v>
      </c>
      <c r="W25" s="111">
        <f t="shared" si="2"/>
        <v>39</v>
      </c>
      <c r="X25" s="114">
        <f>(W25-2*7.5)/6 + 2</f>
        <v>6</v>
      </c>
      <c r="Y25" s="246">
        <f t="shared" si="4"/>
        <v>2754.1800000000003</v>
      </c>
      <c r="Z25" s="133"/>
      <c r="AA25" s="134"/>
      <c r="AB25" s="135"/>
      <c r="AC25" s="145">
        <f t="shared" si="0"/>
        <v>93</v>
      </c>
      <c r="AD25" s="146">
        <f>(AC25-2*7.5)/6 + 2</f>
        <v>15</v>
      </c>
      <c r="AE25" s="250">
        <f t="shared" si="6"/>
        <v>6567.6600000000008</v>
      </c>
      <c r="AF25" s="156"/>
      <c r="AG25" s="157"/>
      <c r="AH25" s="158"/>
      <c r="AI25" s="275" t="s">
        <v>200</v>
      </c>
      <c r="AJ25" s="100"/>
      <c r="AK25" s="100"/>
      <c r="AL25" s="100">
        <v>42</v>
      </c>
      <c r="AM25" s="101">
        <v>14</v>
      </c>
      <c r="AN25" s="177">
        <f>6*(ROUND((AM25-2*7.5)*1.1/6,0)+1) + 2*7.5</f>
        <v>21</v>
      </c>
      <c r="AO25" s="118">
        <v>18</v>
      </c>
      <c r="AP25" s="184">
        <f>6*(ROUND((AJ25+AK25+AL25)*1.1/6,0)+1)</f>
        <v>54</v>
      </c>
      <c r="AQ25" s="51">
        <f t="shared" si="1"/>
        <v>93</v>
      </c>
    </row>
    <row r="26" spans="1:43" s="5" customFormat="1" ht="38.25" x14ac:dyDescent="0.25">
      <c r="A26" s="190" t="s">
        <v>148</v>
      </c>
      <c r="B26" s="187" t="s">
        <v>160</v>
      </c>
      <c r="C26" s="191" t="s">
        <v>149</v>
      </c>
      <c r="D26" s="269" t="s">
        <v>131</v>
      </c>
      <c r="E26" s="176" t="s">
        <v>60</v>
      </c>
      <c r="F26" s="57" t="s">
        <v>90</v>
      </c>
      <c r="G26" s="81">
        <v>30</v>
      </c>
      <c r="H26" s="82">
        <v>30</v>
      </c>
      <c r="I26" s="50" t="s">
        <v>82</v>
      </c>
      <c r="J26" s="54"/>
      <c r="K26" s="54" t="s">
        <v>77</v>
      </c>
      <c r="L26" s="54" t="s">
        <v>110</v>
      </c>
      <c r="M26" s="7" t="s">
        <v>39</v>
      </c>
      <c r="N26" s="8" t="s">
        <v>56</v>
      </c>
      <c r="O26" s="8" t="s">
        <v>57</v>
      </c>
      <c r="P26" s="3" t="s">
        <v>10</v>
      </c>
      <c r="Q26" s="8" t="s">
        <v>10</v>
      </c>
      <c r="R26" s="8" t="s">
        <v>52</v>
      </c>
      <c r="S26" s="8" t="s">
        <v>11</v>
      </c>
      <c r="T26" s="34" t="s">
        <v>10</v>
      </c>
      <c r="U26" s="38" t="s">
        <v>20</v>
      </c>
      <c r="V26" s="68" t="s">
        <v>31</v>
      </c>
      <c r="W26" s="111">
        <f t="shared" si="2"/>
        <v>0</v>
      </c>
      <c r="X26" s="114">
        <f t="shared" si="3"/>
        <v>0</v>
      </c>
      <c r="Y26" s="246">
        <f t="shared" si="4"/>
        <v>0</v>
      </c>
      <c r="Z26" s="133"/>
      <c r="AA26" s="134"/>
      <c r="AB26" s="135"/>
      <c r="AC26" s="145">
        <f t="shared" si="0"/>
        <v>900</v>
      </c>
      <c r="AD26" s="146">
        <f t="shared" si="5"/>
        <v>150</v>
      </c>
      <c r="AE26" s="250">
        <f t="shared" si="6"/>
        <v>1557</v>
      </c>
      <c r="AF26" s="156"/>
      <c r="AG26" s="157"/>
      <c r="AH26" s="158"/>
      <c r="AI26" s="275" t="s">
        <v>200</v>
      </c>
      <c r="AJ26" s="100">
        <v>510</v>
      </c>
      <c r="AK26" s="100">
        <f>150*2</f>
        <v>300</v>
      </c>
      <c r="AL26" s="100"/>
      <c r="AM26" s="101"/>
      <c r="AN26" s="177"/>
      <c r="AO26" s="118"/>
      <c r="AP26" s="184">
        <f>6*(ROUND((AJ26+AK26+AL26)*1.1/6,0)+1)</f>
        <v>900</v>
      </c>
      <c r="AQ26" s="51">
        <f t="shared" si="1"/>
        <v>900</v>
      </c>
    </row>
    <row r="27" spans="1:43" ht="38.25" x14ac:dyDescent="0.25">
      <c r="A27" s="188" t="s">
        <v>148</v>
      </c>
      <c r="B27" s="186" t="s">
        <v>160</v>
      </c>
      <c r="C27" s="189" t="s">
        <v>150</v>
      </c>
      <c r="D27" s="270" t="s">
        <v>132</v>
      </c>
      <c r="E27" s="176" t="s">
        <v>60</v>
      </c>
      <c r="F27" s="57" t="s">
        <v>46</v>
      </c>
      <c r="G27" s="81">
        <v>35</v>
      </c>
      <c r="H27" s="82">
        <v>35</v>
      </c>
      <c r="I27" s="50">
        <v>4</v>
      </c>
      <c r="J27" s="54"/>
      <c r="K27" s="54" t="s">
        <v>77</v>
      </c>
      <c r="L27" s="47">
        <v>2.12</v>
      </c>
      <c r="M27" s="7" t="s">
        <v>39</v>
      </c>
      <c r="N27" s="8" t="s">
        <v>56</v>
      </c>
      <c r="O27" s="8" t="s">
        <v>57</v>
      </c>
      <c r="P27" s="3" t="s">
        <v>10</v>
      </c>
      <c r="Q27" s="8" t="s">
        <v>10</v>
      </c>
      <c r="R27" s="8" t="s">
        <v>52</v>
      </c>
      <c r="S27" s="8" t="s">
        <v>11</v>
      </c>
      <c r="T27" s="34" t="s">
        <v>10</v>
      </c>
      <c r="U27" s="38" t="s">
        <v>20</v>
      </c>
      <c r="V27" s="68" t="s">
        <v>31</v>
      </c>
      <c r="W27" s="111">
        <f t="shared" si="2"/>
        <v>198</v>
      </c>
      <c r="X27" s="113">
        <f t="shared" si="3"/>
        <v>33</v>
      </c>
      <c r="Y27" s="245">
        <f t="shared" si="4"/>
        <v>419.76000000000005</v>
      </c>
      <c r="Z27" s="130"/>
      <c r="AA27" s="131"/>
      <c r="AB27" s="132"/>
      <c r="AC27" s="144">
        <f t="shared" si="0"/>
        <v>468</v>
      </c>
      <c r="AD27" s="143">
        <f t="shared" si="5"/>
        <v>78</v>
      </c>
      <c r="AE27" s="249">
        <f t="shared" si="6"/>
        <v>992.16000000000008</v>
      </c>
      <c r="AF27" s="153"/>
      <c r="AG27" s="154"/>
      <c r="AH27" s="155"/>
      <c r="AI27" s="275" t="s">
        <v>200</v>
      </c>
      <c r="AJ27" s="61">
        <v>72</v>
      </c>
      <c r="AK27" s="61">
        <f>2*84</f>
        <v>168</v>
      </c>
      <c r="AL27" s="61"/>
      <c r="AM27" s="65">
        <v>10</v>
      </c>
      <c r="AN27" s="116">
        <f>6*(ROUND(AM27*1.1/6,0)+1)</f>
        <v>18</v>
      </c>
      <c r="AO27" s="117">
        <v>180</v>
      </c>
      <c r="AP27" s="184">
        <f>6*(ROUND((AJ27+AK27+AL27)*1.1/6,0)+1)</f>
        <v>270</v>
      </c>
      <c r="AQ27" s="51">
        <f t="shared" si="1"/>
        <v>468</v>
      </c>
    </row>
    <row r="28" spans="1:43" ht="38.25" x14ac:dyDescent="0.25">
      <c r="A28" s="188" t="s">
        <v>148</v>
      </c>
      <c r="B28" s="186" t="s">
        <v>160</v>
      </c>
      <c r="C28" s="189" t="s">
        <v>151</v>
      </c>
      <c r="D28" s="269" t="s">
        <v>133</v>
      </c>
      <c r="E28" s="176" t="s">
        <v>60</v>
      </c>
      <c r="F28" s="57" t="s">
        <v>47</v>
      </c>
      <c r="G28" s="81">
        <v>40</v>
      </c>
      <c r="H28" s="82">
        <v>40</v>
      </c>
      <c r="I28" s="50">
        <v>5</v>
      </c>
      <c r="J28" s="54"/>
      <c r="K28" s="54" t="s">
        <v>77</v>
      </c>
      <c r="L28" s="47">
        <v>3</v>
      </c>
      <c r="M28" s="7" t="s">
        <v>39</v>
      </c>
      <c r="N28" s="8" t="s">
        <v>56</v>
      </c>
      <c r="O28" s="8" t="s">
        <v>57</v>
      </c>
      <c r="P28" s="78" t="s">
        <v>10</v>
      </c>
      <c r="Q28" s="8" t="s">
        <v>10</v>
      </c>
      <c r="R28" s="8" t="s">
        <v>52</v>
      </c>
      <c r="S28" s="8" t="s">
        <v>11</v>
      </c>
      <c r="T28" s="34" t="s">
        <v>10</v>
      </c>
      <c r="U28" s="38" t="s">
        <v>20</v>
      </c>
      <c r="V28" s="68" t="s">
        <v>31</v>
      </c>
      <c r="W28" s="111">
        <f t="shared" si="2"/>
        <v>138</v>
      </c>
      <c r="X28" s="113">
        <f t="shared" si="3"/>
        <v>23</v>
      </c>
      <c r="Y28" s="245">
        <f t="shared" si="4"/>
        <v>414</v>
      </c>
      <c r="Z28" s="130"/>
      <c r="AA28" s="131"/>
      <c r="AB28" s="132"/>
      <c r="AC28" s="144">
        <f t="shared" si="0"/>
        <v>138</v>
      </c>
      <c r="AD28" s="143">
        <f t="shared" si="5"/>
        <v>23</v>
      </c>
      <c r="AE28" s="249">
        <f t="shared" si="6"/>
        <v>414</v>
      </c>
      <c r="AF28" s="153"/>
      <c r="AG28" s="154"/>
      <c r="AH28" s="155"/>
      <c r="AI28" s="275" t="s">
        <v>200</v>
      </c>
      <c r="AJ28" s="61"/>
      <c r="AK28" s="61"/>
      <c r="AL28" s="61"/>
      <c r="AM28" s="65">
        <f>39 + 37</f>
        <v>76</v>
      </c>
      <c r="AN28" s="116">
        <f>6*(ROUND(AM28*1.1/6,0)+1)</f>
        <v>90</v>
      </c>
      <c r="AO28" s="117">
        <v>48</v>
      </c>
      <c r="AP28" s="180"/>
      <c r="AQ28" s="51">
        <f t="shared" si="1"/>
        <v>138</v>
      </c>
    </row>
    <row r="29" spans="1:43" ht="38.25" x14ac:dyDescent="0.25">
      <c r="A29" s="188" t="s">
        <v>148</v>
      </c>
      <c r="B29" s="186" t="s">
        <v>160</v>
      </c>
      <c r="C29" s="189" t="s">
        <v>152</v>
      </c>
      <c r="D29" s="270" t="s">
        <v>134</v>
      </c>
      <c r="E29" s="176" t="s">
        <v>60</v>
      </c>
      <c r="F29" s="57" t="s">
        <v>48</v>
      </c>
      <c r="G29" s="80">
        <v>60</v>
      </c>
      <c r="H29" s="58">
        <v>60</v>
      </c>
      <c r="I29" s="50">
        <v>8</v>
      </c>
      <c r="J29" s="54"/>
      <c r="K29" s="54" t="s">
        <v>77</v>
      </c>
      <c r="L29" s="47">
        <v>7.16</v>
      </c>
      <c r="M29" s="7" t="s">
        <v>39</v>
      </c>
      <c r="N29" s="8" t="s">
        <v>56</v>
      </c>
      <c r="O29" s="8" t="s">
        <v>57</v>
      </c>
      <c r="P29" s="6" t="s">
        <v>10</v>
      </c>
      <c r="Q29" s="8" t="s">
        <v>10</v>
      </c>
      <c r="R29" s="8" t="s">
        <v>52</v>
      </c>
      <c r="S29" s="8" t="s">
        <v>11</v>
      </c>
      <c r="T29" s="34" t="s">
        <v>10</v>
      </c>
      <c r="U29" s="38" t="s">
        <v>20</v>
      </c>
      <c r="V29" s="68" t="s">
        <v>31</v>
      </c>
      <c r="W29" s="111">
        <f t="shared" si="2"/>
        <v>450</v>
      </c>
      <c r="X29" s="113">
        <f t="shared" si="3"/>
        <v>75</v>
      </c>
      <c r="Y29" s="245">
        <f t="shared" si="4"/>
        <v>3222</v>
      </c>
      <c r="Z29" s="130"/>
      <c r="AA29" s="131"/>
      <c r="AB29" s="132"/>
      <c r="AC29" s="144">
        <f t="shared" si="0"/>
        <v>450</v>
      </c>
      <c r="AD29" s="143">
        <f t="shared" si="5"/>
        <v>75</v>
      </c>
      <c r="AE29" s="249">
        <f t="shared" si="6"/>
        <v>3222</v>
      </c>
      <c r="AF29" s="153"/>
      <c r="AG29" s="154"/>
      <c r="AH29" s="155"/>
      <c r="AI29" s="275" t="s">
        <v>200</v>
      </c>
      <c r="AJ29" s="61"/>
      <c r="AK29" s="61"/>
      <c r="AL29" s="61"/>
      <c r="AM29" s="65">
        <v>350</v>
      </c>
      <c r="AN29" s="116">
        <f>6*(ROUND(AM29*1.1/6,0)+1)</f>
        <v>390</v>
      </c>
      <c r="AO29" s="117">
        <v>60</v>
      </c>
      <c r="AP29" s="180"/>
      <c r="AQ29" s="51">
        <f t="shared" si="1"/>
        <v>450</v>
      </c>
    </row>
    <row r="30" spans="1:43" s="5" customFormat="1" ht="38.25" x14ac:dyDescent="0.25">
      <c r="A30" s="190" t="s">
        <v>148</v>
      </c>
      <c r="B30" s="187" t="s">
        <v>160</v>
      </c>
      <c r="C30" s="191" t="s">
        <v>153</v>
      </c>
      <c r="D30" s="269" t="s">
        <v>135</v>
      </c>
      <c r="E30" s="176" t="s">
        <v>60</v>
      </c>
      <c r="F30" s="57" t="s">
        <v>49</v>
      </c>
      <c r="G30" s="80">
        <v>65</v>
      </c>
      <c r="H30" s="58">
        <v>65</v>
      </c>
      <c r="I30" s="50">
        <v>6</v>
      </c>
      <c r="J30" s="54"/>
      <c r="K30" s="54" t="s">
        <v>77</v>
      </c>
      <c r="L30" s="54">
        <v>5.97</v>
      </c>
      <c r="M30" s="94" t="s">
        <v>39</v>
      </c>
      <c r="N30" s="95" t="s">
        <v>56</v>
      </c>
      <c r="O30" s="95" t="s">
        <v>57</v>
      </c>
      <c r="P30" s="259" t="s">
        <v>10</v>
      </c>
      <c r="Q30" s="95" t="s">
        <v>10</v>
      </c>
      <c r="R30" s="95" t="s">
        <v>52</v>
      </c>
      <c r="S30" s="95" t="s">
        <v>11</v>
      </c>
      <c r="T30" s="97" t="s">
        <v>10</v>
      </c>
      <c r="U30" s="98" t="s">
        <v>20</v>
      </c>
      <c r="V30" s="99" t="s">
        <v>31</v>
      </c>
      <c r="W30" s="112">
        <f t="shared" si="2"/>
        <v>72</v>
      </c>
      <c r="X30" s="114">
        <f t="shared" si="3"/>
        <v>12</v>
      </c>
      <c r="Y30" s="246">
        <f t="shared" si="4"/>
        <v>429.84</v>
      </c>
      <c r="Z30" s="133"/>
      <c r="AA30" s="134"/>
      <c r="AB30" s="135"/>
      <c r="AC30" s="145">
        <f t="shared" si="0"/>
        <v>72</v>
      </c>
      <c r="AD30" s="146">
        <f t="shared" si="5"/>
        <v>12</v>
      </c>
      <c r="AE30" s="250">
        <f t="shared" si="6"/>
        <v>429.84</v>
      </c>
      <c r="AF30" s="156"/>
      <c r="AG30" s="157"/>
      <c r="AH30" s="158"/>
      <c r="AI30" s="276" t="s">
        <v>200</v>
      </c>
      <c r="AJ30" s="100"/>
      <c r="AK30" s="100"/>
      <c r="AL30" s="100"/>
      <c r="AM30" s="65">
        <v>2</v>
      </c>
      <c r="AN30" s="177">
        <f>6*(ROUND(AM30*1.1/6,0)+1)</f>
        <v>6</v>
      </c>
      <c r="AO30" s="118">
        <v>66</v>
      </c>
      <c r="AP30" s="181"/>
      <c r="AQ30" s="223">
        <f t="shared" si="1"/>
        <v>72</v>
      </c>
    </row>
    <row r="31" spans="1:43" ht="39" thickBot="1" x14ac:dyDescent="0.3">
      <c r="A31" s="199" t="s">
        <v>148</v>
      </c>
      <c r="B31" s="200" t="s">
        <v>160</v>
      </c>
      <c r="C31" s="201" t="s">
        <v>154</v>
      </c>
      <c r="D31" s="271" t="s">
        <v>136</v>
      </c>
      <c r="E31" s="272" t="s">
        <v>60</v>
      </c>
      <c r="F31" s="203" t="s">
        <v>50</v>
      </c>
      <c r="G31" s="204">
        <v>65</v>
      </c>
      <c r="H31" s="205">
        <v>65</v>
      </c>
      <c r="I31" s="55">
        <v>8</v>
      </c>
      <c r="J31" s="56"/>
      <c r="K31" s="56" t="s">
        <v>77</v>
      </c>
      <c r="L31" s="56">
        <v>7.8100000000000005</v>
      </c>
      <c r="M31" s="41" t="s">
        <v>39</v>
      </c>
      <c r="N31" s="20" t="s">
        <v>56</v>
      </c>
      <c r="O31" s="20" t="s">
        <v>57</v>
      </c>
      <c r="P31" s="4" t="s">
        <v>10</v>
      </c>
      <c r="Q31" s="20" t="s">
        <v>10</v>
      </c>
      <c r="R31" s="20" t="s">
        <v>52</v>
      </c>
      <c r="S31" s="20" t="s">
        <v>11</v>
      </c>
      <c r="T31" s="42" t="s">
        <v>10</v>
      </c>
      <c r="U31" s="43" t="s">
        <v>20</v>
      </c>
      <c r="V31" s="69" t="s">
        <v>31</v>
      </c>
      <c r="W31" s="112">
        <f t="shared" si="2"/>
        <v>54</v>
      </c>
      <c r="X31" s="206">
        <f t="shared" si="3"/>
        <v>9</v>
      </c>
      <c r="Y31" s="247">
        <f t="shared" si="4"/>
        <v>421.74</v>
      </c>
      <c r="Z31" s="136"/>
      <c r="AA31" s="137"/>
      <c r="AB31" s="138"/>
      <c r="AC31" s="207">
        <f t="shared" si="0"/>
        <v>54</v>
      </c>
      <c r="AD31" s="208">
        <f t="shared" si="5"/>
        <v>9</v>
      </c>
      <c r="AE31" s="251">
        <f t="shared" si="6"/>
        <v>421.74</v>
      </c>
      <c r="AF31" s="159"/>
      <c r="AG31" s="160"/>
      <c r="AH31" s="161"/>
      <c r="AI31" s="277" t="s">
        <v>200</v>
      </c>
      <c r="AJ31" s="70"/>
      <c r="AK31" s="70"/>
      <c r="AL31" s="70"/>
      <c r="AM31" s="67">
        <v>12</v>
      </c>
      <c r="AN31" s="209">
        <f>6*(ROUND(AM31*1.1/6,0)+1)</f>
        <v>18</v>
      </c>
      <c r="AO31" s="210">
        <v>36</v>
      </c>
      <c r="AP31" s="211"/>
      <c r="AQ31" s="51">
        <f t="shared" si="1"/>
        <v>54</v>
      </c>
    </row>
    <row r="32" spans="1:43" ht="15.75" thickBot="1" x14ac:dyDescent="0.3">
      <c r="Y32" s="196">
        <f>SUM(Y9:Y31)</f>
        <v>18989.640000000007</v>
      </c>
      <c r="AE32" s="196">
        <f>SUM(AE9:AE31)</f>
        <v>51056.220000000008</v>
      </c>
      <c r="AJ32" s="51">
        <f t="shared" ref="AJ32:AQ32" si="8">SUM(AJ9:AJ31)</f>
        <v>945</v>
      </c>
      <c r="AK32" s="51">
        <f t="shared" si="8"/>
        <v>750</v>
      </c>
      <c r="AL32" s="51">
        <f t="shared" si="8"/>
        <v>378</v>
      </c>
      <c r="AM32" s="51">
        <f t="shared" si="8"/>
        <v>689</v>
      </c>
      <c r="AN32" s="51">
        <f t="shared" si="8"/>
        <v>849</v>
      </c>
      <c r="AO32" s="51">
        <f t="shared" si="8"/>
        <v>618</v>
      </c>
      <c r="AP32" s="51">
        <f t="shared" si="8"/>
        <v>2355</v>
      </c>
      <c r="AQ32" s="173">
        <f t="shared" si="8"/>
        <v>3822</v>
      </c>
    </row>
    <row r="33" spans="1:5" x14ac:dyDescent="0.25">
      <c r="A33" s="39" t="s">
        <v>12</v>
      </c>
      <c r="B33" s="39"/>
      <c r="C33" s="39"/>
      <c r="D33" s="39"/>
      <c r="E33" s="39"/>
    </row>
    <row r="34" spans="1:5" x14ac:dyDescent="0.25">
      <c r="A34" s="85" t="s">
        <v>10</v>
      </c>
      <c r="B34" s="85"/>
      <c r="C34" s="85"/>
      <c r="D34" s="86" t="s">
        <v>13</v>
      </c>
      <c r="E34" s="85"/>
    </row>
    <row r="35" spans="1:5" x14ac:dyDescent="0.25">
      <c r="A35" s="85" t="s">
        <v>17</v>
      </c>
      <c r="B35" s="85"/>
      <c r="C35" s="85"/>
      <c r="D35" s="86" t="s">
        <v>18</v>
      </c>
      <c r="E35" s="85"/>
    </row>
    <row r="37" spans="1:5" ht="15.75" x14ac:dyDescent="0.25">
      <c r="A37" s="72" t="s">
        <v>70</v>
      </c>
      <c r="B37" s="72"/>
      <c r="C37" s="72"/>
    </row>
  </sheetData>
  <autoFilter ref="A8:V32" xr:uid="{00000000-0009-0000-0000-000000000000}"/>
  <mergeCells count="4">
    <mergeCell ref="AJ7:AM7"/>
    <mergeCell ref="AN7:AP7"/>
    <mergeCell ref="W7:AB7"/>
    <mergeCell ref="AC7:AH7"/>
  </mergeCells>
  <phoneticPr fontId="26" type="noConversion"/>
  <hyperlinks>
    <hyperlink ref="B2" r:id="rId1" xr:uid="{2F8FD7DD-106F-4DE7-B6F3-2C63F47991EC}"/>
    <hyperlink ref="B6" r:id="rId2" xr:uid="{3014787A-7FD4-46E3-A610-0D9C7B976D75}"/>
  </hyperlinks>
  <pageMargins left="0.25" right="0.25" top="0.75" bottom="0.75" header="0.3" footer="0.3"/>
  <pageSetup paperSize="9" scale="22" orientation="landscape" r:id="rId3"/>
  <ignoredErrors>
    <ignoredError sqref="J25 I16:J17 I11:J11 I14:J14 I26 I22:J24 I19:J19 L11 L14 L16:L17 L22 K13 K23:L24 K26 L26 L19 K9:K11 K14:K21 I12:L12 K29:K31 K27 K28" numberStoredAsText="1"/>
    <ignoredError sqref="AQ9:AQ10" formulaRange="1"/>
    <ignoredError sqref="X22 AD22 X25 AD25" formula="1"/>
  </ignoredErrors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BA35B-8D4A-4348-A105-2E55B6F3FC15}">
  <sheetPr>
    <tabColor rgb="FFFFC000"/>
    <pageSetUpPr fitToPage="1"/>
  </sheetPr>
  <dimension ref="A1:AL22"/>
  <sheetViews>
    <sheetView showGridLines="0" zoomScale="90" zoomScaleNormal="90" workbookViewId="0">
      <pane xSplit="9" topLeftCell="J1" activePane="topRight" state="frozen"/>
      <selection pane="topRight"/>
    </sheetView>
  </sheetViews>
  <sheetFormatPr defaultRowHeight="15" x14ac:dyDescent="0.25"/>
  <cols>
    <col min="1" max="1" width="12.85546875" customWidth="1"/>
    <col min="2" max="2" width="7.28515625" customWidth="1"/>
    <col min="3" max="3" width="8.140625" customWidth="1"/>
    <col min="4" max="4" width="22.140625" customWidth="1"/>
    <col min="5" max="5" width="10.85546875" customWidth="1"/>
    <col min="6" max="6" width="10.42578125" customWidth="1"/>
    <col min="7" max="9" width="10.42578125" style="1" customWidth="1"/>
    <col min="10" max="10" width="18.42578125" customWidth="1"/>
    <col min="11" max="11" width="11.42578125" customWidth="1"/>
    <col min="12" max="12" width="10.140625" style="5" customWidth="1"/>
    <col min="13" max="13" width="9.42578125" customWidth="1"/>
    <col min="14" max="14" width="9.5703125" customWidth="1"/>
    <col min="15" max="15" width="9.140625" customWidth="1"/>
    <col min="16" max="16" width="10.85546875" customWidth="1"/>
    <col min="17" max="17" width="17" customWidth="1"/>
    <col min="18" max="18" width="26.7109375" customWidth="1"/>
    <col min="19" max="20" width="11" customWidth="1"/>
    <col min="21" max="21" width="9.140625" style="2" customWidth="1"/>
    <col min="22" max="22" width="11.140625" customWidth="1"/>
    <col min="23" max="24" width="11.28515625" customWidth="1"/>
    <col min="25" max="26" width="11" customWidth="1"/>
    <col min="27" max="27" width="9.140625" style="2" customWidth="1"/>
    <col min="28" max="28" width="11.140625" customWidth="1"/>
    <col min="29" max="30" width="11.28515625" customWidth="1"/>
    <col min="31" max="31" width="35.42578125" customWidth="1"/>
    <col min="32" max="33" width="16.140625" customWidth="1"/>
    <col min="34" max="34" width="14.5703125" customWidth="1"/>
    <col min="35" max="35" width="15.85546875" customWidth="1"/>
    <col min="36" max="36" width="15.42578125" customWidth="1"/>
    <col min="37" max="37" width="18.7109375" customWidth="1"/>
    <col min="38" max="38" width="9.140625" style="51"/>
  </cols>
  <sheetData>
    <row r="1" spans="1:38" s="29" customFormat="1" ht="18.600000000000001" x14ac:dyDescent="0.3">
      <c r="A1" s="33" t="s">
        <v>141</v>
      </c>
      <c r="B1" s="33"/>
      <c r="C1" s="33"/>
      <c r="D1" s="28"/>
      <c r="G1" s="30"/>
      <c r="H1" s="30"/>
      <c r="I1" s="30"/>
      <c r="L1" s="31"/>
      <c r="U1" s="32"/>
      <c r="AA1" s="32"/>
      <c r="AL1" s="88"/>
    </row>
    <row r="2" spans="1:38" s="15" customFormat="1" ht="16.350000000000001" x14ac:dyDescent="0.3">
      <c r="A2" s="14" t="s">
        <v>14</v>
      </c>
      <c r="B2" s="14"/>
      <c r="C2" s="71" t="s">
        <v>29</v>
      </c>
      <c r="G2" s="16"/>
      <c r="H2" s="16"/>
      <c r="I2" s="16"/>
      <c r="L2" s="17"/>
      <c r="U2" s="18"/>
      <c r="AA2" s="18"/>
      <c r="AL2" s="87"/>
    </row>
    <row r="3" spans="1:38" s="15" customFormat="1" ht="16.350000000000001" x14ac:dyDescent="0.3">
      <c r="A3" s="14"/>
      <c r="B3" s="14"/>
      <c r="C3" s="14"/>
      <c r="D3" s="21"/>
      <c r="G3" s="16"/>
      <c r="H3" s="16"/>
      <c r="I3" s="16"/>
      <c r="L3" s="17"/>
      <c r="U3" s="18"/>
      <c r="AA3" s="18"/>
      <c r="AL3" s="87"/>
    </row>
    <row r="4" spans="1:38" s="22" customFormat="1" ht="16.350000000000001" x14ac:dyDescent="0.3">
      <c r="A4" s="40" t="s">
        <v>23</v>
      </c>
      <c r="C4" s="15"/>
      <c r="D4" s="26"/>
      <c r="G4" s="23"/>
      <c r="H4" s="23"/>
      <c r="I4" s="23"/>
      <c r="L4" s="49"/>
      <c r="M4" s="15"/>
      <c r="Q4" s="15"/>
      <c r="U4" s="24"/>
      <c r="AA4" s="24"/>
      <c r="AL4" s="87"/>
    </row>
    <row r="5" spans="1:38" s="22" customFormat="1" ht="16.350000000000001" x14ac:dyDescent="0.3">
      <c r="A5" s="27" t="s">
        <v>142</v>
      </c>
      <c r="B5" s="27"/>
      <c r="C5" s="73"/>
      <c r="D5" s="26"/>
      <c r="G5" s="23"/>
      <c r="H5" s="23"/>
      <c r="I5" s="23"/>
      <c r="L5" s="17"/>
      <c r="M5" s="15"/>
      <c r="U5" s="24"/>
      <c r="AA5" s="24"/>
      <c r="AL5" s="87"/>
    </row>
    <row r="6" spans="1:38" s="22" customFormat="1" ht="17.100000000000001" thickBot="1" x14ac:dyDescent="0.35">
      <c r="A6" s="22" t="s">
        <v>14</v>
      </c>
      <c r="C6" s="185" t="s">
        <v>143</v>
      </c>
      <c r="G6" s="23"/>
      <c r="H6" s="23"/>
      <c r="I6" s="23"/>
      <c r="L6" s="25"/>
      <c r="U6" s="24"/>
      <c r="AA6" s="24"/>
      <c r="AL6" s="87"/>
    </row>
    <row r="7" spans="1:38" ht="37.15" customHeight="1" thickBot="1" x14ac:dyDescent="0.35">
      <c r="S7" s="285" t="s">
        <v>144</v>
      </c>
      <c r="T7" s="286"/>
      <c r="U7" s="286"/>
      <c r="V7" s="286"/>
      <c r="W7" s="286"/>
      <c r="X7" s="287"/>
      <c r="Y7" s="288" t="s">
        <v>145</v>
      </c>
      <c r="Z7" s="289"/>
      <c r="AA7" s="289"/>
      <c r="AB7" s="289"/>
      <c r="AC7" s="289"/>
      <c r="AD7" s="290"/>
      <c r="AF7" s="291" t="s">
        <v>187</v>
      </c>
      <c r="AG7" s="292"/>
      <c r="AH7" s="292"/>
      <c r="AI7" s="293" t="s">
        <v>71</v>
      </c>
      <c r="AJ7" s="294"/>
      <c r="AK7" s="295"/>
    </row>
    <row r="8" spans="1:38" s="13" customFormat="1" ht="57" thickBot="1" x14ac:dyDescent="0.3">
      <c r="A8" s="35" t="s">
        <v>0</v>
      </c>
      <c r="B8" s="44" t="s">
        <v>22</v>
      </c>
      <c r="C8" s="36" t="s">
        <v>4</v>
      </c>
      <c r="D8" s="45" t="s">
        <v>1</v>
      </c>
      <c r="E8" s="46" t="s">
        <v>61</v>
      </c>
      <c r="F8" s="46" t="s">
        <v>32</v>
      </c>
      <c r="G8" s="46" t="s">
        <v>62</v>
      </c>
      <c r="H8" s="46" t="s">
        <v>111</v>
      </c>
      <c r="I8" s="46" t="s">
        <v>68</v>
      </c>
      <c r="J8" s="9" t="s">
        <v>2</v>
      </c>
      <c r="K8" s="10" t="s">
        <v>53</v>
      </c>
      <c r="L8" s="9" t="s">
        <v>21</v>
      </c>
      <c r="M8" s="10" t="s">
        <v>5</v>
      </c>
      <c r="N8" s="10" t="s">
        <v>6</v>
      </c>
      <c r="O8" s="10" t="s">
        <v>7</v>
      </c>
      <c r="P8" s="11" t="s">
        <v>16</v>
      </c>
      <c r="Q8" s="37" t="s">
        <v>8</v>
      </c>
      <c r="R8" s="11" t="s">
        <v>9</v>
      </c>
      <c r="S8" s="59" t="s">
        <v>67</v>
      </c>
      <c r="T8" s="59" t="s">
        <v>66</v>
      </c>
      <c r="U8" s="74" t="s">
        <v>65</v>
      </c>
      <c r="V8" s="124" t="s">
        <v>38</v>
      </c>
      <c r="W8" s="125" t="s">
        <v>15</v>
      </c>
      <c r="X8" s="126" t="s">
        <v>37</v>
      </c>
      <c r="Y8" s="139" t="s">
        <v>67</v>
      </c>
      <c r="Z8" s="139" t="s">
        <v>66</v>
      </c>
      <c r="AA8" s="140" t="s">
        <v>65</v>
      </c>
      <c r="AB8" s="147" t="s">
        <v>38</v>
      </c>
      <c r="AC8" s="148" t="s">
        <v>15</v>
      </c>
      <c r="AD8" s="149" t="s">
        <v>37</v>
      </c>
      <c r="AE8" s="278" t="s">
        <v>188</v>
      </c>
      <c r="AF8" s="76" t="s">
        <v>26</v>
      </c>
      <c r="AG8" s="52" t="s">
        <v>27</v>
      </c>
      <c r="AH8" s="53" t="s">
        <v>28</v>
      </c>
      <c r="AI8" s="182" t="s">
        <v>137</v>
      </c>
      <c r="AJ8" s="232" t="s">
        <v>138</v>
      </c>
      <c r="AK8" s="178" t="s">
        <v>139</v>
      </c>
      <c r="AL8" s="51" t="s">
        <v>24</v>
      </c>
    </row>
    <row r="9" spans="1:38" ht="38.25" x14ac:dyDescent="0.25">
      <c r="A9" s="252" t="s">
        <v>19</v>
      </c>
      <c r="B9" s="83" t="s">
        <v>189</v>
      </c>
      <c r="C9" s="174" t="s">
        <v>59</v>
      </c>
      <c r="D9" s="79" t="s">
        <v>73</v>
      </c>
      <c r="E9" s="90">
        <v>1.5</v>
      </c>
      <c r="F9" s="91">
        <v>1000</v>
      </c>
      <c r="G9" s="102" t="s">
        <v>186</v>
      </c>
      <c r="H9" s="224">
        <f xml:space="preserve"> F9*G9/1000/1000</f>
        <v>2</v>
      </c>
      <c r="I9" s="227">
        <f xml:space="preserve"> 7930 * 1 * E9/1000</f>
        <v>11.895</v>
      </c>
      <c r="J9" s="104" t="s">
        <v>39</v>
      </c>
      <c r="K9" s="105" t="s">
        <v>197</v>
      </c>
      <c r="L9" s="104" t="s">
        <v>10</v>
      </c>
      <c r="M9" s="105" t="s">
        <v>10</v>
      </c>
      <c r="N9" s="105" t="s">
        <v>52</v>
      </c>
      <c r="O9" s="105" t="s">
        <v>11</v>
      </c>
      <c r="P9" s="106" t="s">
        <v>10</v>
      </c>
      <c r="Q9" s="107" t="s">
        <v>20</v>
      </c>
      <c r="R9" s="212" t="s">
        <v>143</v>
      </c>
      <c r="S9" s="213">
        <f>AI9+AJ9</f>
        <v>45</v>
      </c>
      <c r="T9" s="213">
        <f>S9*H9</f>
        <v>90</v>
      </c>
      <c r="U9" s="244">
        <f>T9*I9</f>
        <v>1070.55</v>
      </c>
      <c r="V9" s="127"/>
      <c r="W9" s="128"/>
      <c r="X9" s="129"/>
      <c r="Y9" s="214">
        <f>AI9+AJ9+AK9</f>
        <v>105</v>
      </c>
      <c r="Z9" s="215">
        <f>Y9*H9</f>
        <v>210</v>
      </c>
      <c r="AA9" s="248">
        <f>Z9*I9</f>
        <v>2497.9499999999998</v>
      </c>
      <c r="AB9" s="150"/>
      <c r="AC9" s="151"/>
      <c r="AD9" s="152"/>
      <c r="AE9" s="274" t="s">
        <v>200</v>
      </c>
      <c r="AF9" s="110"/>
      <c r="AG9" s="110"/>
      <c r="AH9" s="216">
        <f>5.9+19</f>
        <v>24.9</v>
      </c>
      <c r="AI9" s="115">
        <f>ROUNDUP((AH9*1.2)/2,0)</f>
        <v>15</v>
      </c>
      <c r="AJ9" s="233">
        <f>AI9*2</f>
        <v>30</v>
      </c>
      <c r="AK9" s="238">
        <f>4*AI9</f>
        <v>60</v>
      </c>
      <c r="AL9" s="51">
        <f t="shared" ref="AL9:AL16" si="0">SUM(AI9:AK9)</f>
        <v>105</v>
      </c>
    </row>
    <row r="10" spans="1:38" ht="38.25" x14ac:dyDescent="0.25">
      <c r="A10" s="253" t="s">
        <v>19</v>
      </c>
      <c r="B10" s="92" t="s">
        <v>190</v>
      </c>
      <c r="C10" s="257" t="s">
        <v>59</v>
      </c>
      <c r="D10" s="93" t="s">
        <v>74</v>
      </c>
      <c r="E10" s="80">
        <v>2</v>
      </c>
      <c r="F10" s="48">
        <v>1000</v>
      </c>
      <c r="G10" s="50" t="s">
        <v>186</v>
      </c>
      <c r="H10" s="226">
        <f t="shared" ref="H10:H16" si="1" xml:space="preserve"> F10*G10/1000/1000</f>
        <v>2</v>
      </c>
      <c r="I10" s="228">
        <f t="shared" ref="I10:I16" si="2" xml:space="preserve"> 7930 * 1 * E10/1000</f>
        <v>15.86</v>
      </c>
      <c r="J10" s="7" t="s">
        <v>39</v>
      </c>
      <c r="K10" s="8" t="s">
        <v>197</v>
      </c>
      <c r="L10" s="7" t="s">
        <v>10</v>
      </c>
      <c r="M10" s="8" t="s">
        <v>10</v>
      </c>
      <c r="N10" s="8" t="s">
        <v>52</v>
      </c>
      <c r="O10" s="8" t="s">
        <v>11</v>
      </c>
      <c r="P10" s="34" t="s">
        <v>10</v>
      </c>
      <c r="Q10" s="38" t="s">
        <v>20</v>
      </c>
      <c r="R10" s="99" t="s">
        <v>143</v>
      </c>
      <c r="S10" s="60">
        <f t="shared" ref="S10:S16" si="3">AI10+AJ10</f>
        <v>30</v>
      </c>
      <c r="T10" s="75">
        <f t="shared" ref="T10:U10" si="4">S10*H10</f>
        <v>60</v>
      </c>
      <c r="U10" s="245">
        <f t="shared" si="4"/>
        <v>951.59999999999991</v>
      </c>
      <c r="V10" s="166"/>
      <c r="W10" s="167"/>
      <c r="X10" s="168"/>
      <c r="Y10" s="162">
        <f t="shared" ref="Y10:Y16" si="5">AI10+AJ10+AK10</f>
        <v>54</v>
      </c>
      <c r="Z10" s="163">
        <f t="shared" ref="Z10:AA10" si="6">Y10*H10</f>
        <v>108</v>
      </c>
      <c r="AA10" s="249">
        <f t="shared" si="6"/>
        <v>1712.8799999999999</v>
      </c>
      <c r="AB10" s="169"/>
      <c r="AC10" s="170"/>
      <c r="AD10" s="171"/>
      <c r="AE10" s="279" t="s">
        <v>200</v>
      </c>
      <c r="AF10" s="62"/>
      <c r="AG10" s="62"/>
      <c r="AH10" s="63">
        <v>9.9</v>
      </c>
      <c r="AI10" s="121">
        <f t="shared" ref="AI10:AI16" si="7">ROUNDUP((AH10*1.2)/2,0)</f>
        <v>6</v>
      </c>
      <c r="AJ10" s="234">
        <f>AI10*4</f>
        <v>24</v>
      </c>
      <c r="AK10" s="239">
        <f t="shared" ref="AK10:AK16" si="8">4*AI10</f>
        <v>24</v>
      </c>
      <c r="AL10" s="51">
        <f t="shared" si="0"/>
        <v>54</v>
      </c>
    </row>
    <row r="11" spans="1:38" ht="38.25" x14ac:dyDescent="0.25">
      <c r="A11" s="253" t="s">
        <v>19</v>
      </c>
      <c r="B11" s="84" t="s">
        <v>191</v>
      </c>
      <c r="C11" s="257" t="s">
        <v>59</v>
      </c>
      <c r="D11" s="93" t="s">
        <v>75</v>
      </c>
      <c r="E11" s="80">
        <v>3</v>
      </c>
      <c r="F11" s="48">
        <v>1000</v>
      </c>
      <c r="G11" s="50" t="s">
        <v>186</v>
      </c>
      <c r="H11" s="226">
        <f t="shared" si="1"/>
        <v>2</v>
      </c>
      <c r="I11" s="228">
        <f t="shared" si="2"/>
        <v>23.79</v>
      </c>
      <c r="J11" s="7" t="s">
        <v>39</v>
      </c>
      <c r="K11" s="95" t="s">
        <v>113</v>
      </c>
      <c r="L11" s="7" t="s">
        <v>10</v>
      </c>
      <c r="M11" s="8" t="s">
        <v>10</v>
      </c>
      <c r="N11" s="8" t="s">
        <v>52</v>
      </c>
      <c r="O11" s="8" t="s">
        <v>11</v>
      </c>
      <c r="P11" s="34" t="s">
        <v>10</v>
      </c>
      <c r="Q11" s="38" t="s">
        <v>20</v>
      </c>
      <c r="R11" s="99" t="s">
        <v>143</v>
      </c>
      <c r="S11" s="60">
        <f t="shared" si="3"/>
        <v>38</v>
      </c>
      <c r="T11" s="75">
        <f t="shared" ref="T11:U11" si="9">S11*H11</f>
        <v>76</v>
      </c>
      <c r="U11" s="245">
        <f t="shared" si="9"/>
        <v>1808.04</v>
      </c>
      <c r="V11" s="166"/>
      <c r="W11" s="167"/>
      <c r="X11" s="168"/>
      <c r="Y11" s="162">
        <f t="shared" si="5"/>
        <v>114</v>
      </c>
      <c r="Z11" s="163">
        <f t="shared" ref="Z11:AA11" si="10">Y11*H11</f>
        <v>228</v>
      </c>
      <c r="AA11" s="249">
        <f t="shared" si="10"/>
        <v>5424.12</v>
      </c>
      <c r="AB11" s="169"/>
      <c r="AC11" s="170"/>
      <c r="AD11" s="171"/>
      <c r="AE11" s="279" t="s">
        <v>200</v>
      </c>
      <c r="AF11" s="62"/>
      <c r="AG11" s="62"/>
      <c r="AH11" s="63">
        <v>30.1</v>
      </c>
      <c r="AI11" s="116">
        <f t="shared" si="7"/>
        <v>19</v>
      </c>
      <c r="AJ11" s="234">
        <f t="shared" ref="AJ11:AJ16" si="11">AI11</f>
        <v>19</v>
      </c>
      <c r="AK11" s="239">
        <f t="shared" si="8"/>
        <v>76</v>
      </c>
      <c r="AL11" s="51">
        <f t="shared" si="0"/>
        <v>114</v>
      </c>
    </row>
    <row r="12" spans="1:38" ht="38.25" x14ac:dyDescent="0.25">
      <c r="A12" s="254" t="s">
        <v>19</v>
      </c>
      <c r="B12" s="92" t="s">
        <v>194</v>
      </c>
      <c r="C12" s="175" t="s">
        <v>59</v>
      </c>
      <c r="D12" s="57" t="s">
        <v>63</v>
      </c>
      <c r="E12" s="77">
        <v>5</v>
      </c>
      <c r="F12" s="48">
        <v>1000</v>
      </c>
      <c r="G12" s="50" t="s">
        <v>186</v>
      </c>
      <c r="H12" s="226">
        <f t="shared" si="1"/>
        <v>2</v>
      </c>
      <c r="I12" s="228">
        <f t="shared" si="2"/>
        <v>39.65</v>
      </c>
      <c r="J12" s="7" t="s">
        <v>39</v>
      </c>
      <c r="K12" s="95" t="s">
        <v>113</v>
      </c>
      <c r="L12" s="7" t="s">
        <v>10</v>
      </c>
      <c r="M12" s="8" t="s">
        <v>10</v>
      </c>
      <c r="N12" s="8" t="s">
        <v>52</v>
      </c>
      <c r="O12" s="8" t="s">
        <v>11</v>
      </c>
      <c r="P12" s="34" t="s">
        <v>10</v>
      </c>
      <c r="Q12" s="38" t="s">
        <v>20</v>
      </c>
      <c r="R12" s="99" t="s">
        <v>143</v>
      </c>
      <c r="S12" s="60">
        <f t="shared" si="3"/>
        <v>170</v>
      </c>
      <c r="T12" s="75">
        <f t="shared" ref="T12:U12" si="12">S12*H12</f>
        <v>340</v>
      </c>
      <c r="U12" s="245">
        <f t="shared" si="12"/>
        <v>13481</v>
      </c>
      <c r="V12" s="166"/>
      <c r="W12" s="167"/>
      <c r="X12" s="168"/>
      <c r="Y12" s="162">
        <f t="shared" si="5"/>
        <v>510</v>
      </c>
      <c r="Z12" s="163">
        <f t="shared" ref="Z12:AA12" si="13">Y12*H12</f>
        <v>1020</v>
      </c>
      <c r="AA12" s="249">
        <f t="shared" si="13"/>
        <v>40443</v>
      </c>
      <c r="AB12" s="169"/>
      <c r="AC12" s="170"/>
      <c r="AD12" s="171"/>
      <c r="AE12" s="279" t="s">
        <v>200</v>
      </c>
      <c r="AF12" s="62"/>
      <c r="AG12" s="62"/>
      <c r="AH12" s="63">
        <v>141.19999999999999</v>
      </c>
      <c r="AI12" s="121">
        <f t="shared" si="7"/>
        <v>85</v>
      </c>
      <c r="AJ12" s="234">
        <f t="shared" si="11"/>
        <v>85</v>
      </c>
      <c r="AK12" s="239">
        <f t="shared" si="8"/>
        <v>340</v>
      </c>
      <c r="AL12" s="51">
        <f t="shared" si="0"/>
        <v>510</v>
      </c>
    </row>
    <row r="13" spans="1:38" ht="38.25" x14ac:dyDescent="0.25">
      <c r="A13" s="254" t="s">
        <v>19</v>
      </c>
      <c r="B13" s="84" t="s">
        <v>192</v>
      </c>
      <c r="C13" s="175" t="s">
        <v>59</v>
      </c>
      <c r="D13" s="57" t="s">
        <v>182</v>
      </c>
      <c r="E13" s="81">
        <v>8</v>
      </c>
      <c r="F13" s="82">
        <v>1000</v>
      </c>
      <c r="G13" s="50" t="s">
        <v>186</v>
      </c>
      <c r="H13" s="225">
        <f t="shared" si="1"/>
        <v>2</v>
      </c>
      <c r="I13" s="229">
        <f t="shared" si="2"/>
        <v>63.44</v>
      </c>
      <c r="J13" s="7" t="s">
        <v>39</v>
      </c>
      <c r="K13" s="8" t="s">
        <v>113</v>
      </c>
      <c r="L13" s="7" t="s">
        <v>10</v>
      </c>
      <c r="M13" s="8" t="s">
        <v>10</v>
      </c>
      <c r="N13" s="8" t="s">
        <v>52</v>
      </c>
      <c r="O13" s="8" t="s">
        <v>11</v>
      </c>
      <c r="P13" s="34" t="s">
        <v>10</v>
      </c>
      <c r="Q13" s="38" t="s">
        <v>20</v>
      </c>
      <c r="R13" s="68" t="s">
        <v>143</v>
      </c>
      <c r="S13" s="64">
        <f t="shared" si="3"/>
        <v>10</v>
      </c>
      <c r="T13" s="75">
        <f t="shared" ref="T13:U13" si="14">S13*H13</f>
        <v>20</v>
      </c>
      <c r="U13" s="245">
        <f t="shared" si="14"/>
        <v>1268.8</v>
      </c>
      <c r="V13" s="130"/>
      <c r="W13" s="131"/>
      <c r="X13" s="132"/>
      <c r="Y13" s="164">
        <f t="shared" si="5"/>
        <v>30</v>
      </c>
      <c r="Z13" s="163">
        <f t="shared" ref="Z13:AA13" si="15">Y13*H13</f>
        <v>60</v>
      </c>
      <c r="AA13" s="249">
        <f t="shared" si="15"/>
        <v>3806.3999999999996</v>
      </c>
      <c r="AB13" s="153"/>
      <c r="AC13" s="154"/>
      <c r="AD13" s="155"/>
      <c r="AE13" s="275" t="s">
        <v>200</v>
      </c>
      <c r="AF13" s="61"/>
      <c r="AG13" s="61"/>
      <c r="AH13" s="65">
        <v>6.9</v>
      </c>
      <c r="AI13" s="116">
        <f t="shared" si="7"/>
        <v>5</v>
      </c>
      <c r="AJ13" s="235">
        <f t="shared" si="11"/>
        <v>5</v>
      </c>
      <c r="AK13" s="240">
        <f t="shared" si="8"/>
        <v>20</v>
      </c>
      <c r="AL13" s="51">
        <f t="shared" si="0"/>
        <v>30</v>
      </c>
    </row>
    <row r="14" spans="1:38" ht="38.25" x14ac:dyDescent="0.25">
      <c r="A14" s="254" t="s">
        <v>19</v>
      </c>
      <c r="B14" s="92" t="s">
        <v>195</v>
      </c>
      <c r="C14" s="175" t="s">
        <v>59</v>
      </c>
      <c r="D14" s="57" t="s">
        <v>183</v>
      </c>
      <c r="E14" s="81">
        <v>10</v>
      </c>
      <c r="F14" s="82">
        <v>1000</v>
      </c>
      <c r="G14" s="50" t="s">
        <v>186</v>
      </c>
      <c r="H14" s="226">
        <f t="shared" si="1"/>
        <v>2</v>
      </c>
      <c r="I14" s="229">
        <f t="shared" si="2"/>
        <v>79.3</v>
      </c>
      <c r="J14" s="7" t="s">
        <v>39</v>
      </c>
      <c r="K14" s="8" t="s">
        <v>113</v>
      </c>
      <c r="L14" s="3" t="s">
        <v>10</v>
      </c>
      <c r="M14" s="8" t="s">
        <v>10</v>
      </c>
      <c r="N14" s="8" t="s">
        <v>52</v>
      </c>
      <c r="O14" s="8" t="s">
        <v>11</v>
      </c>
      <c r="P14" s="34" t="s">
        <v>10</v>
      </c>
      <c r="Q14" s="38" t="s">
        <v>20</v>
      </c>
      <c r="R14" s="68" t="s">
        <v>143</v>
      </c>
      <c r="S14" s="64">
        <f t="shared" si="3"/>
        <v>18</v>
      </c>
      <c r="T14" s="75">
        <f t="shared" ref="T14:U14" si="16">S14*H14</f>
        <v>36</v>
      </c>
      <c r="U14" s="245">
        <f t="shared" si="16"/>
        <v>2854.7999999999997</v>
      </c>
      <c r="V14" s="130"/>
      <c r="W14" s="131"/>
      <c r="X14" s="132"/>
      <c r="Y14" s="164">
        <f t="shared" si="5"/>
        <v>54</v>
      </c>
      <c r="Z14" s="163">
        <f t="shared" ref="Z14:AA14" si="17">Y14*H14</f>
        <v>108</v>
      </c>
      <c r="AA14" s="249">
        <f t="shared" si="17"/>
        <v>8564.4</v>
      </c>
      <c r="AB14" s="153"/>
      <c r="AC14" s="154"/>
      <c r="AD14" s="155"/>
      <c r="AE14" s="275" t="s">
        <v>200</v>
      </c>
      <c r="AF14" s="61"/>
      <c r="AG14" s="61"/>
      <c r="AH14" s="65">
        <v>14.5</v>
      </c>
      <c r="AI14" s="116">
        <f t="shared" si="7"/>
        <v>9</v>
      </c>
      <c r="AJ14" s="235">
        <f t="shared" si="11"/>
        <v>9</v>
      </c>
      <c r="AK14" s="240">
        <f t="shared" si="8"/>
        <v>36</v>
      </c>
      <c r="AL14" s="51">
        <f t="shared" si="0"/>
        <v>54</v>
      </c>
    </row>
    <row r="15" spans="1:38" s="5" customFormat="1" ht="38.25" x14ac:dyDescent="0.25">
      <c r="A15" s="255" t="s">
        <v>19</v>
      </c>
      <c r="B15" s="84" t="s">
        <v>196</v>
      </c>
      <c r="C15" s="176" t="s">
        <v>59</v>
      </c>
      <c r="D15" s="57" t="s">
        <v>184</v>
      </c>
      <c r="E15" s="81">
        <v>15</v>
      </c>
      <c r="F15" s="82">
        <v>1000</v>
      </c>
      <c r="G15" s="50" t="s">
        <v>186</v>
      </c>
      <c r="H15" s="226">
        <f t="shared" si="1"/>
        <v>2</v>
      </c>
      <c r="I15" s="229">
        <f t="shared" si="2"/>
        <v>118.95</v>
      </c>
      <c r="J15" s="94" t="s">
        <v>39</v>
      </c>
      <c r="K15" s="95" t="s">
        <v>113</v>
      </c>
      <c r="L15" s="96" t="s">
        <v>10</v>
      </c>
      <c r="M15" s="95" t="s">
        <v>10</v>
      </c>
      <c r="N15" s="95" t="s">
        <v>52</v>
      </c>
      <c r="O15" s="95" t="s">
        <v>11</v>
      </c>
      <c r="P15" s="97" t="s">
        <v>10</v>
      </c>
      <c r="Q15" s="98" t="s">
        <v>20</v>
      </c>
      <c r="R15" s="99" t="s">
        <v>143</v>
      </c>
      <c r="S15" s="219">
        <f t="shared" si="3"/>
        <v>4</v>
      </c>
      <c r="T15" s="220">
        <f t="shared" ref="T15:U15" si="18">S15*H15</f>
        <v>8</v>
      </c>
      <c r="U15" s="246">
        <f t="shared" si="18"/>
        <v>951.6</v>
      </c>
      <c r="V15" s="133"/>
      <c r="W15" s="134"/>
      <c r="X15" s="135"/>
      <c r="Y15" s="221">
        <f t="shared" si="5"/>
        <v>12</v>
      </c>
      <c r="Z15" s="222">
        <f t="shared" ref="Z15:AA15" si="19">Y15*H15</f>
        <v>24</v>
      </c>
      <c r="AA15" s="250">
        <f t="shared" si="19"/>
        <v>2854.8</v>
      </c>
      <c r="AB15" s="156"/>
      <c r="AC15" s="157"/>
      <c r="AD15" s="158"/>
      <c r="AE15" s="276" t="s">
        <v>200</v>
      </c>
      <c r="AF15" s="100"/>
      <c r="AG15" s="100"/>
      <c r="AH15" s="101">
        <v>2.2000000000000002</v>
      </c>
      <c r="AI15" s="177">
        <f t="shared" si="7"/>
        <v>2</v>
      </c>
      <c r="AJ15" s="236">
        <f t="shared" si="11"/>
        <v>2</v>
      </c>
      <c r="AK15" s="241">
        <f t="shared" si="8"/>
        <v>8</v>
      </c>
      <c r="AL15" s="223">
        <f t="shared" si="0"/>
        <v>12</v>
      </c>
    </row>
    <row r="16" spans="1:38" ht="39" thickBot="1" x14ac:dyDescent="0.3">
      <c r="A16" s="256" t="s">
        <v>19</v>
      </c>
      <c r="B16" s="258" t="s">
        <v>193</v>
      </c>
      <c r="C16" s="202" t="s">
        <v>59</v>
      </c>
      <c r="D16" s="203" t="s">
        <v>185</v>
      </c>
      <c r="E16" s="204">
        <v>30</v>
      </c>
      <c r="F16" s="205">
        <v>1000</v>
      </c>
      <c r="G16" s="55" t="s">
        <v>186</v>
      </c>
      <c r="H16" s="230">
        <f t="shared" si="1"/>
        <v>2</v>
      </c>
      <c r="I16" s="231">
        <f t="shared" si="2"/>
        <v>237.9</v>
      </c>
      <c r="J16" s="41" t="s">
        <v>39</v>
      </c>
      <c r="K16" s="20" t="s">
        <v>113</v>
      </c>
      <c r="L16" s="4" t="s">
        <v>10</v>
      </c>
      <c r="M16" s="20" t="s">
        <v>10</v>
      </c>
      <c r="N16" s="20" t="s">
        <v>52</v>
      </c>
      <c r="O16" s="20" t="s">
        <v>11</v>
      </c>
      <c r="P16" s="42" t="s">
        <v>10</v>
      </c>
      <c r="Q16" s="43" t="s">
        <v>20</v>
      </c>
      <c r="R16" s="69" t="s">
        <v>143</v>
      </c>
      <c r="S16" s="66">
        <f t="shared" si="3"/>
        <v>2</v>
      </c>
      <c r="T16" s="217">
        <f t="shared" ref="T16:U16" si="20">S16*H16</f>
        <v>4</v>
      </c>
      <c r="U16" s="247">
        <f t="shared" si="20"/>
        <v>951.6</v>
      </c>
      <c r="V16" s="136"/>
      <c r="W16" s="137"/>
      <c r="X16" s="138"/>
      <c r="Y16" s="165">
        <f t="shared" si="5"/>
        <v>6</v>
      </c>
      <c r="Z16" s="218">
        <f t="shared" ref="Z16:AA16" si="21">Y16*H16</f>
        <v>12</v>
      </c>
      <c r="AA16" s="251">
        <f t="shared" si="21"/>
        <v>2854.8</v>
      </c>
      <c r="AB16" s="159"/>
      <c r="AC16" s="160"/>
      <c r="AD16" s="161"/>
      <c r="AE16" s="277" t="s">
        <v>200</v>
      </c>
      <c r="AF16" s="70"/>
      <c r="AG16" s="70"/>
      <c r="AH16" s="67">
        <v>0.4</v>
      </c>
      <c r="AI16" s="209">
        <f t="shared" si="7"/>
        <v>1</v>
      </c>
      <c r="AJ16" s="237">
        <f t="shared" si="11"/>
        <v>1</v>
      </c>
      <c r="AK16" s="242">
        <f t="shared" si="8"/>
        <v>4</v>
      </c>
      <c r="AL16" s="51">
        <f t="shared" si="0"/>
        <v>6</v>
      </c>
    </row>
    <row r="17" spans="1:38" thickBot="1" x14ac:dyDescent="0.3">
      <c r="S17" s="243">
        <f>SUM(S9:S16)</f>
        <v>317</v>
      </c>
      <c r="T17" s="243">
        <f>SUM(T9:T16)</f>
        <v>634</v>
      </c>
      <c r="U17" s="196">
        <f>SUM(U9:U16)</f>
        <v>23337.989999999994</v>
      </c>
      <c r="Y17" s="243">
        <f>SUM(Y9:Y16)</f>
        <v>885</v>
      </c>
      <c r="Z17" s="243">
        <f>SUM(Z9:Z16)</f>
        <v>1770</v>
      </c>
      <c r="AA17" s="196">
        <f>SUM(AA9:AA16)</f>
        <v>68158.350000000006</v>
      </c>
      <c r="AF17" s="51">
        <f t="shared" ref="AF17:AL17" si="22">SUM(AF9:AF16)</f>
        <v>0</v>
      </c>
      <c r="AG17" s="51">
        <f t="shared" si="22"/>
        <v>0</v>
      </c>
      <c r="AH17" s="51">
        <f t="shared" si="22"/>
        <v>230.1</v>
      </c>
      <c r="AI17" s="51">
        <f t="shared" si="22"/>
        <v>142</v>
      </c>
      <c r="AJ17" s="51">
        <f t="shared" si="22"/>
        <v>175</v>
      </c>
      <c r="AK17" s="51">
        <f t="shared" si="22"/>
        <v>568</v>
      </c>
      <c r="AL17" s="89">
        <f t="shared" si="22"/>
        <v>885</v>
      </c>
    </row>
    <row r="18" spans="1:38" thickBot="1" x14ac:dyDescent="0.3">
      <c r="A18" s="39" t="s">
        <v>12</v>
      </c>
      <c r="B18" s="39"/>
      <c r="C18" s="39"/>
      <c r="AK18" s="172">
        <f>SUM(AI17:AK17)</f>
        <v>885</v>
      </c>
      <c r="AL18" s="51" t="s">
        <v>24</v>
      </c>
    </row>
    <row r="19" spans="1:38" ht="14.25" x14ac:dyDescent="0.25">
      <c r="A19" s="85" t="s">
        <v>10</v>
      </c>
      <c r="B19" s="86" t="s">
        <v>13</v>
      </c>
      <c r="C19" s="85"/>
      <c r="P19" s="12"/>
    </row>
    <row r="20" spans="1:38" ht="14.25" x14ac:dyDescent="0.25">
      <c r="A20" s="85" t="s">
        <v>17</v>
      </c>
      <c r="B20" s="86" t="s">
        <v>18</v>
      </c>
    </row>
    <row r="22" spans="1:38" ht="16.350000000000001" x14ac:dyDescent="0.3">
      <c r="A22" s="72" t="s">
        <v>70</v>
      </c>
    </row>
  </sheetData>
  <autoFilter ref="A8:R17" xr:uid="{00000000-0009-0000-0000-000000000000}"/>
  <mergeCells count="4">
    <mergeCell ref="AF7:AH7"/>
    <mergeCell ref="AI7:AK7"/>
    <mergeCell ref="S7:X7"/>
    <mergeCell ref="Y7:AD7"/>
  </mergeCells>
  <phoneticPr fontId="26" type="noConversion"/>
  <hyperlinks>
    <hyperlink ref="C2" r:id="rId1" xr:uid="{5B979534-01C0-4B61-9D63-096AC19351B0}"/>
    <hyperlink ref="C6" r:id="rId2" xr:uid="{AF267ED2-E59F-40C2-93AD-C0373D902C72}"/>
  </hyperlinks>
  <pageMargins left="0.25" right="0.25" top="0.75" bottom="0.75" header="0.3" footer="0.3"/>
  <pageSetup paperSize="9" scale="42" orientation="landscape" r:id="rId3"/>
  <ignoredErrors>
    <ignoredError sqref="G9 G10:G16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465DFAB-D03F-4413-ACCA-780329A45D6C}"/>
</file>

<file path=customXml/itemProps2.xml><?xml version="1.0" encoding="utf-8"?>
<ds:datastoreItem xmlns:ds="http://schemas.openxmlformats.org/officeDocument/2006/customXml" ds:itemID="{BE033C5C-0BB9-48B2-998C-52220AC7316D}"/>
</file>

<file path=customXml/itemProps3.xml><?xml version="1.0" encoding="utf-8"?>
<ds:datastoreItem xmlns:ds="http://schemas.openxmlformats.org/officeDocument/2006/customXml" ds:itemID="{61E309CA-0F8F-4159-BDDB-4D80C2C01C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1_BoQ_beams</vt:lpstr>
      <vt:lpstr>2_BoQ_Plates</vt:lpstr>
      <vt:lpstr>'1_BoQ_beams'!Print_Area</vt:lpstr>
      <vt:lpstr>'2_BoQ_Plates'!Print_Area</vt:lpstr>
    </vt:vector>
  </TitlesOfParts>
  <Manager/>
  <Company>ITER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Schneiderova Iva</dc:creator>
  <cp:keywords/>
  <dc:description/>
  <cp:lastModifiedBy>Joshi Aman Kumar</cp:lastModifiedBy>
  <cp:revision/>
  <cp:lastPrinted>2024-04-16T07:18:14Z</cp:lastPrinted>
  <dcterms:created xsi:type="dcterms:W3CDTF">2019-09-18T12:11:04Z</dcterms:created>
  <dcterms:modified xsi:type="dcterms:W3CDTF">2024-09-11T14:04:09Z</dcterms:modified>
  <cp:category/>
  <cp:contentStatus/>
</cp:coreProperties>
</file>